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загал" sheetId="1" r:id="rId1"/>
  </sheets>
  <definedNames>
    <definedName name="_xlnm.Print_Area" localSheetId="0">'загал'!$A$1:$I$103</definedName>
  </definedNames>
  <calcPr fullCalcOnLoad="1"/>
</workbook>
</file>

<file path=xl/sharedStrings.xml><?xml version="1.0" encoding="utf-8"?>
<sst xmlns="http://schemas.openxmlformats.org/spreadsheetml/2006/main" count="126" uniqueCount="123">
  <si>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</si>
  <si>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</si>
  <si>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</si>
  <si>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</si>
  <si>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</si>
  <si>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Поточний ремонт та утримання технічних засобів регулювання дорожнього руху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</si>
  <si>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</si>
  <si>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</si>
  <si>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</si>
  <si>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</si>
  <si>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</si>
  <si>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</si>
  <si>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</si>
  <si>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</si>
  <si>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</si>
  <si>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</si>
  <si>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</si>
  <si>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</si>
  <si>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</si>
  <si>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</si>
  <si>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</si>
  <si>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</si>
  <si>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</si>
  <si>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</si>
  <si>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</si>
  <si>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</si>
  <si>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</si>
  <si>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</si>
  <si>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</si>
  <si>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</si>
  <si>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</si>
  <si>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</si>
  <si>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</si>
  <si>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</si>
  <si>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</si>
  <si>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</si>
  <si>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</si>
  <si>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</si>
  <si>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</si>
  <si>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</si>
  <si>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</si>
  <si>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</si>
  <si>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</si>
  <si>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</si>
  <si>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</si>
  <si>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</si>
  <si>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</si>
  <si>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</si>
  <si>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</si>
  <si>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</si>
  <si>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</si>
  <si>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</si>
  <si>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</si>
  <si>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</si>
  <si>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</si>
  <si>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</si>
  <si>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Капітальний ремонт вул. Гоголя (тротуар, парна сторона від вул. Кірова до вул. Остафія Дашковича) в м. Черкаси </t>
  </si>
  <si>
    <t xml:space="preserve">Капітальний ремонт тротуару по вул. Корольова (парна сторона,від вул. Сумгаїтської до квартального проїзду буд.№14 та №16)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</si>
  <si>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</si>
  <si>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</si>
  <si>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</si>
  <si>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внутрішньоквартальних проїздів до буд. Горького 130, Різдвяна 115, Ватутіна 175, 175/1, 175/2</t>
  </si>
  <si>
    <t>Капітальний ремонт вул. Канівська</t>
  </si>
  <si>
    <t>Капітальний ремонт вул. Оборонної</t>
  </si>
  <si>
    <t xml:space="preserve">Капітальний ремонт вул.Вербовецького від вул. Толстого до вул.Портової </t>
  </si>
  <si>
    <t>Капітальний ремонт вул. Небесної сотні від вул Хрещатик до бул.Шевченка</t>
  </si>
  <si>
    <t>Капітальний ремонт вул. Байди Вишневецького від Замкового узвозу до вул. Хрещатик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</si>
  <si>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</si>
  <si>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</si>
  <si>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</si>
  <si>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</si>
  <si>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</si>
  <si>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</si>
  <si>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Капітальний ремонт тротуарів парної сторони вул. В'ячеслава Чорновола від вул. Бидгощської до вул. Радянської, м. Черкаси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</si>
  <si>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</si>
  <si>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</si>
  <si>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</si>
  <si>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</si>
  <si>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вул. Гоголя (тротуар  від вул. Б. Вишневецького до вул.  Смілянської) (з ПКД)</t>
  </si>
  <si>
    <t>Капітальний ремонт бульв. Шевченка (тротуар непарної сторони та бульварної частини від вул. Богдана Хмельницького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</si>
  <si>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</si>
  <si>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вул.Гоголя до буд.580 в м.Черкаси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</si>
  <si>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</si>
  <si>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</si>
  <si>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</si>
  <si>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</si>
  <si>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</si>
  <si>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</si>
  <si>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</si>
  <si>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</si>
  <si>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</si>
  <si>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</si>
  <si>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</si>
  <si>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</si>
  <si>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</si>
  <si>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</si>
  <si>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</si>
  <si>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</si>
  <si>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</si>
  <si>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</si>
  <si>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</si>
  <si>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</si>
  <si>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</si>
  <si>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</si>
  <si>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</si>
  <si>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</si>
  <si>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</si>
  <si>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</si>
  <si>
    <t>Капітальний ремонт тротуару по вул. Ярослава Галана від житлового будинку №13/1 до дитячого санаторію "Пролісок"</t>
  </si>
  <si>
    <t>Реконструкція вул. Б.Хмельницького від. бульв. Шевченка до вул. Гагаріна (з ПКД)</t>
  </si>
  <si>
    <t>Капітальний ремонт об'єктів вулично-дорожньої мережі</t>
  </si>
  <si>
    <t>Реконструкція вул.Калініна (тротуар парної сторони напроти загальноосвітньої школи №21),в м.Черкаси (з ПКД)</t>
  </si>
  <si>
    <t>Капітальний ремонт міжквартального проїзду від вул. Гагаріна до будинку № 69 по вул. Героїв Дніпра</t>
  </si>
  <si>
    <t>Капітальний ремонт вул. Горького (від бульв. Шевченка до вул. Гоголя) в місті Черкаси</t>
  </si>
  <si>
    <t>Капітальний ремонт міжквартального проїзду з вул.Симиренівська до будинку № 24 по вул. Подолінського</t>
  </si>
  <si>
    <t>Капітальний ремонт бульв. Шевченка (тротуар непарної сторони та бульварної частини від вул. Горького  до вул.  Чехова) (з ПКД)</t>
  </si>
  <si>
    <t>Реконструкція тротуару від вул. Смілянської до житлового будинку № 126/1, м. Черкаси (з ПКД)</t>
  </si>
  <si>
    <t>Реконструкція вул. О Дашковича від вул. Хрещатик до вул. Верхня Горова (з ПКД)</t>
  </si>
  <si>
    <t>Капітальний ремонт вул. Ільїна (від вул. Можайського до вул. М. Грушевського), м. Черкаси</t>
  </si>
  <si>
    <t>Капітальний ремонт бульв. Шевченка (від вул. Лазарєва до вул. Небесної Сотні), м. Черкаси</t>
  </si>
  <si>
    <t>Відсоток виконання до плану 7 місяців</t>
  </si>
  <si>
    <t>Залишок призначень до плану 7 місяців</t>
  </si>
  <si>
    <t>Профінансовано станом на 08.07.16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</si>
</sst>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0.00000"/>
    <numFmt numFmtId="193" formatCode="0.0000"/>
    <numFmt numFmtId="194" formatCode="0.0000000"/>
    <numFmt numFmtId="195" formatCode="0.00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3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Border="1" applyAlignment="1">
      <alignment horizontal="center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0" fillId="0" borderId="10" xfId="82" applyFont="1" applyBorder="1">
      <alignment/>
      <protection/>
    </xf>
    <xf numFmtId="180" fontId="20" fillId="25" borderId="10" xfId="0" applyNumberFormat="1" applyFont="1" applyFill="1" applyBorder="1" applyAlignment="1" applyProtection="1">
      <alignment horizontal="left" vertical="center" wrapText="1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3" fillId="0" borderId="10" xfId="82" applyFont="1" applyFill="1" applyBorder="1">
      <alignment/>
      <protection/>
    </xf>
    <xf numFmtId="180" fontId="4" fillId="24" borderId="10" xfId="93" applyNumberFormat="1" applyFont="1" applyFill="1" applyBorder="1" applyAlignment="1">
      <alignment horizontal="center" vertical="center"/>
    </xf>
    <xf numFmtId="180" fontId="4" fillId="0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3" fillId="0" borderId="10" xfId="76" applyNumberFormat="1" applyFont="1" applyFill="1" applyBorder="1" applyAlignment="1">
      <alignment horizontal="center"/>
      <protection/>
    </xf>
    <xf numFmtId="180" fontId="4" fillId="0" borderId="10" xfId="82" applyNumberFormat="1" applyFont="1" applyFill="1" applyBorder="1" applyAlignment="1">
      <alignment horizontal="center" wrapText="1"/>
      <protection/>
    </xf>
    <xf numFmtId="0" fontId="0" fillId="20" borderId="0" xfId="82" applyFont="1" applyFill="1">
      <alignment/>
      <protection/>
    </xf>
    <xf numFmtId="0" fontId="4" fillId="20" borderId="0" xfId="82" applyFont="1" applyFill="1" applyBorder="1" applyAlignment="1">
      <alignment horizontal="center" wrapText="1"/>
      <protection/>
    </xf>
    <xf numFmtId="180" fontId="20" fillId="20" borderId="0" xfId="76" applyNumberFormat="1" applyFont="1" applyFill="1" applyBorder="1" applyAlignment="1">
      <alignment horizontal="center"/>
      <protection/>
    </xf>
    <xf numFmtId="180" fontId="4" fillId="20" borderId="10" xfId="76" applyNumberFormat="1" applyFont="1" applyFill="1" applyBorder="1" applyAlignment="1">
      <alignment horizontal="center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20" fillId="0" borderId="10" xfId="80" applyFont="1" applyFill="1" applyBorder="1" applyAlignment="1">
      <alignment vertical="top" wrapText="1"/>
      <protection/>
    </xf>
    <xf numFmtId="0" fontId="20" fillId="0" borderId="0" xfId="82" applyFont="1" applyBorder="1">
      <alignment/>
      <protection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4" fillId="24" borderId="10" xfId="82" applyNumberFormat="1" applyFont="1" applyFill="1" applyBorder="1" applyAlignment="1">
      <alignment horizontal="center"/>
      <protection/>
    </xf>
    <xf numFmtId="4" fontId="20" fillId="24" borderId="10" xfId="82" applyNumberFormat="1" applyFont="1" applyFill="1" applyBorder="1" applyAlignment="1">
      <alignment horizontal="center"/>
      <protection/>
    </xf>
    <xf numFmtId="4" fontId="4" fillId="0" borderId="10" xfId="82" applyNumberFormat="1" applyFont="1" applyBorder="1" applyAlignment="1">
      <alignment horizontal="center"/>
      <protection/>
    </xf>
    <xf numFmtId="180" fontId="4" fillId="20" borderId="0" xfId="76" applyNumberFormat="1" applyFont="1" applyFill="1" applyBorder="1" applyAlignment="1">
      <alignment horizontal="center"/>
      <protection/>
    </xf>
    <xf numFmtId="180" fontId="4" fillId="20" borderId="10" xfId="93" applyNumberFormat="1" applyFont="1" applyFill="1" applyBorder="1" applyAlignment="1">
      <alignment horizontal="center" vertical="center"/>
    </xf>
    <xf numFmtId="180" fontId="4" fillId="24" borderId="11" xfId="93" applyNumberFormat="1" applyFont="1" applyFill="1" applyBorder="1" applyAlignment="1">
      <alignment horizontal="center" vertical="center"/>
    </xf>
    <xf numFmtId="4" fontId="4" fillId="24" borderId="0" xfId="82" applyNumberFormat="1" applyFont="1" applyFill="1" applyBorder="1" applyAlignment="1">
      <alignment horizontal="center"/>
      <protection/>
    </xf>
    <xf numFmtId="4" fontId="4" fillId="24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4" fillId="0" borderId="10" xfId="76" applyNumberFormat="1" applyFont="1" applyFill="1" applyBorder="1" applyAlignment="1">
      <alignment horizontal="center"/>
      <protection/>
    </xf>
    <xf numFmtId="4" fontId="0" fillId="0" borderId="0" xfId="82" applyNumberFormat="1" applyFont="1">
      <alignment/>
      <protection/>
    </xf>
    <xf numFmtId="180" fontId="4" fillId="24" borderId="10" xfId="76" applyNumberFormat="1" applyFont="1" applyFill="1" applyBorder="1" applyAlignment="1">
      <alignment horizontal="center"/>
      <protection/>
    </xf>
    <xf numFmtId="0" fontId="4" fillId="0" borderId="0" xfId="82" applyFont="1" applyBorder="1" applyAlignment="1">
      <alignment horizontal="center" wrapText="1"/>
      <protection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4" fillId="0" borderId="14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4" fillId="0" borderId="15" xfId="82" applyFont="1" applyBorder="1" applyAlignment="1">
      <alignment horizontal="center" wrapText="1"/>
      <protection/>
    </xf>
    <xf numFmtId="0" fontId="12" fillId="20" borderId="12" xfId="0" applyFont="1" applyFill="1" applyBorder="1" applyAlignment="1">
      <alignment horizontal="center" vertical="center" wrapText="1"/>
    </xf>
    <xf numFmtId="0" fontId="12" fillId="20" borderId="13" xfId="0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180" fontId="20" fillId="0" borderId="17" xfId="76" applyNumberFormat="1" applyFont="1" applyFill="1" applyBorder="1" applyAlignment="1">
      <alignment horizontal="center" vertical="center"/>
      <protection/>
    </xf>
    <xf numFmtId="180" fontId="20" fillId="0" borderId="14" xfId="76" applyNumberFormat="1" applyFont="1" applyFill="1" applyBorder="1" applyAlignment="1">
      <alignment horizontal="center" vertical="center"/>
      <protection/>
    </xf>
    <xf numFmtId="180" fontId="20" fillId="0" borderId="18" xfId="76" applyNumberFormat="1" applyFont="1" applyFill="1" applyBorder="1" applyAlignment="1">
      <alignment horizontal="center" vertical="center"/>
      <protection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4"/>
  <sheetViews>
    <sheetView tabSelected="1" zoomScale="70" zoomScaleNormal="70" zoomScaleSheetLayoutView="40" zoomScalePageLayoutView="0" workbookViewId="0" topLeftCell="A1">
      <pane ySplit="7" topLeftCell="BM9" activePane="bottomLeft" state="frozen"/>
      <selection pane="topLeft" activeCell="A1" sqref="A1"/>
      <selection pane="bottomLeft" activeCell="A2" sqref="A2:H2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8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9" width="18.5" style="7" customWidth="1"/>
    <col min="10" max="10" width="27" style="7" hidden="1" customWidth="1"/>
    <col min="11" max="11" width="23" style="7" hidden="1" customWidth="1"/>
    <col min="12" max="12" width="20.5" style="7" hidden="1" customWidth="1"/>
    <col min="13" max="13" width="19.66015625" style="7" hidden="1" customWidth="1"/>
    <col min="14" max="14" width="20.83203125" style="7" hidden="1" customWidth="1"/>
    <col min="15" max="15" width="23.16015625" style="7" hidden="1" customWidth="1"/>
    <col min="16" max="16" width="28.33203125" style="7" hidden="1" customWidth="1"/>
    <col min="17" max="17" width="23.66015625" style="7" hidden="1" customWidth="1"/>
    <col min="18" max="18" width="26.5" style="7" hidden="1" customWidth="1"/>
    <col min="19" max="19" width="21.16015625" style="7" hidden="1" customWidth="1"/>
    <col min="20" max="20" width="24.16015625" style="7" hidden="1" customWidth="1"/>
    <col min="21" max="21" width="21.83203125" style="7" hidden="1" customWidth="1"/>
    <col min="22" max="22" width="21.16015625" style="7" hidden="1" customWidth="1"/>
    <col min="23" max="23" width="22.83203125" style="7" hidden="1" customWidth="1"/>
    <col min="24" max="24" width="23.5" style="7" hidden="1" customWidth="1"/>
    <col min="25" max="25" width="15.16015625" style="7" hidden="1" customWidth="1"/>
    <col min="26" max="26" width="9.33203125" style="7" customWidth="1"/>
    <col min="27" max="16384" width="9.33203125" style="7" customWidth="1"/>
  </cols>
  <sheetData>
    <row r="1" spans="1:8" ht="21" customHeight="1">
      <c r="A1" s="89" t="s">
        <v>11</v>
      </c>
      <c r="B1" s="89"/>
      <c r="C1" s="89"/>
      <c r="D1" s="89"/>
      <c r="E1" s="89"/>
      <c r="F1" s="89"/>
      <c r="G1" s="89"/>
      <c r="H1" s="89"/>
    </row>
    <row r="2" spans="1:8" ht="20.25" customHeight="1">
      <c r="A2" s="90" t="s">
        <v>12</v>
      </c>
      <c r="B2" s="90"/>
      <c r="C2" s="90"/>
      <c r="D2" s="90"/>
      <c r="E2" s="90"/>
      <c r="F2" s="90"/>
      <c r="G2" s="90"/>
      <c r="H2" s="90"/>
    </row>
    <row r="3" spans="3:7" ht="13.5" customHeight="1">
      <c r="C3" s="9"/>
      <c r="D3" s="8"/>
      <c r="E3" s="10"/>
      <c r="G3" s="11" t="s">
        <v>13</v>
      </c>
    </row>
    <row r="4" spans="1:24" ht="12" customHeight="1">
      <c r="A4" s="92" t="s">
        <v>8</v>
      </c>
      <c r="B4" s="12"/>
      <c r="C4" s="92" t="s">
        <v>14</v>
      </c>
      <c r="D4" s="91" t="s">
        <v>15</v>
      </c>
      <c r="E4" s="91" t="s">
        <v>0</v>
      </c>
      <c r="F4" s="91" t="s">
        <v>1</v>
      </c>
      <c r="G4" s="14" t="s">
        <v>2</v>
      </c>
      <c r="H4" s="91" t="s">
        <v>122</v>
      </c>
      <c r="I4" s="78" t="s">
        <v>42</v>
      </c>
      <c r="J4" s="78" t="s">
        <v>120</v>
      </c>
      <c r="K4" s="83" t="s">
        <v>121</v>
      </c>
      <c r="L4" s="78" t="s">
        <v>43</v>
      </c>
      <c r="M4" s="78" t="s">
        <v>44</v>
      </c>
      <c r="N4" s="78" t="s">
        <v>45</v>
      </c>
      <c r="O4" s="78" t="s">
        <v>46</v>
      </c>
      <c r="P4" s="78" t="s">
        <v>47</v>
      </c>
      <c r="Q4" s="78" t="s">
        <v>48</v>
      </c>
      <c r="R4" s="78" t="s">
        <v>49</v>
      </c>
      <c r="S4" s="78" t="s">
        <v>50</v>
      </c>
      <c r="T4" s="78" t="s">
        <v>51</v>
      </c>
      <c r="U4" s="78" t="s">
        <v>52</v>
      </c>
      <c r="V4" s="78" t="s">
        <v>53</v>
      </c>
      <c r="W4" s="78" t="s">
        <v>54</v>
      </c>
      <c r="X4" s="78" t="s">
        <v>55</v>
      </c>
    </row>
    <row r="5" spans="1:24" ht="55.5" customHeight="1">
      <c r="A5" s="92"/>
      <c r="B5" s="15" t="s">
        <v>9</v>
      </c>
      <c r="C5" s="92"/>
      <c r="D5" s="91"/>
      <c r="E5" s="91"/>
      <c r="F5" s="91"/>
      <c r="G5" s="13" t="s">
        <v>7</v>
      </c>
      <c r="H5" s="91"/>
      <c r="I5" s="79"/>
      <c r="J5" s="85"/>
      <c r="K5" s="84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</row>
    <row r="6" spans="1:11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3"/>
      <c r="J6" s="79"/>
      <c r="K6" s="52"/>
    </row>
    <row r="7" spans="1:25" s="16" customFormat="1" ht="19.5" customHeight="1">
      <c r="A7" s="80" t="s">
        <v>16</v>
      </c>
      <c r="B7" s="81"/>
      <c r="C7" s="81"/>
      <c r="D7" s="81"/>
      <c r="E7" s="81"/>
      <c r="F7" s="81"/>
      <c r="G7" s="81"/>
      <c r="H7" s="81"/>
      <c r="I7" s="82"/>
      <c r="J7" s="77"/>
      <c r="K7" s="53"/>
      <c r="Y7" s="75"/>
    </row>
    <row r="8" spans="1:25" ht="37.5" customHeight="1">
      <c r="A8" s="17">
        <v>1</v>
      </c>
      <c r="B8" s="18"/>
      <c r="C8" s="19" t="s">
        <v>17</v>
      </c>
      <c r="D8" s="20">
        <f>D9+D23</f>
        <v>120090018.86</v>
      </c>
      <c r="E8" s="20">
        <f>E9</f>
        <v>31136618.86</v>
      </c>
      <c r="F8" s="20">
        <f>F23</f>
        <v>88953400</v>
      </c>
      <c r="G8" s="20">
        <f>G23</f>
        <v>88953400</v>
      </c>
      <c r="H8" s="20">
        <f>H9+H23</f>
        <v>63063254.800000004</v>
      </c>
      <c r="I8" s="72">
        <f>H8/D8*100</f>
        <v>52.51331909067202</v>
      </c>
      <c r="J8" s="76">
        <f>H8/(L8+M8+N8+O8+P8+Q8+R8+N23+O23+P23+Q23+R23)*100</f>
        <v>74.7210329917668</v>
      </c>
      <c r="K8" s="69">
        <f>K9+K15</f>
        <v>6153939.96</v>
      </c>
      <c r="L8" s="69">
        <f>L9+L15</f>
        <v>112816</v>
      </c>
      <c r="M8" s="69">
        <f aca="true" t="shared" si="0" ref="M8:X8">M9+M15</f>
        <v>1300000</v>
      </c>
      <c r="N8" s="69">
        <f t="shared" si="0"/>
        <v>3700000</v>
      </c>
      <c r="O8" s="69">
        <f t="shared" si="0"/>
        <v>8500000</v>
      </c>
      <c r="P8" s="69">
        <f t="shared" si="0"/>
        <v>4469971.76</v>
      </c>
      <c r="Q8" s="69">
        <f t="shared" si="0"/>
        <v>5516190</v>
      </c>
      <c r="R8" s="69">
        <f t="shared" si="0"/>
        <v>2467079.39</v>
      </c>
      <c r="S8" s="69">
        <f t="shared" si="0"/>
        <v>2479622</v>
      </c>
      <c r="T8" s="69">
        <f t="shared" si="0"/>
        <v>1720935</v>
      </c>
      <c r="U8" s="69">
        <f t="shared" si="0"/>
        <v>473444</v>
      </c>
      <c r="V8" s="69">
        <f t="shared" si="0"/>
        <v>305286.11</v>
      </c>
      <c r="W8" s="69">
        <f t="shared" si="0"/>
        <v>91274.6</v>
      </c>
      <c r="X8" s="69">
        <f t="shared" si="0"/>
        <v>31136618.86</v>
      </c>
      <c r="Y8" s="75"/>
    </row>
    <row r="9" spans="1:25" ht="18.75">
      <c r="A9" s="1"/>
      <c r="B9" s="21"/>
      <c r="C9" s="22" t="s">
        <v>18</v>
      </c>
      <c r="D9" s="23">
        <f>D11+D13+D12+D14+D15+D10</f>
        <v>31136618.86</v>
      </c>
      <c r="E9" s="23">
        <f>E11+E13+E12+E14+E15+E10</f>
        <v>31136618.86</v>
      </c>
      <c r="F9" s="23"/>
      <c r="G9" s="23"/>
      <c r="H9" s="23">
        <f>H11+H13+H12+H14+H15+H10</f>
        <v>19912117.189999998</v>
      </c>
      <c r="I9" s="23">
        <f>H9/D9*100</f>
        <v>63.95080107936935</v>
      </c>
      <c r="J9" s="74">
        <f>H9/(L8+M8+N8+O8+P8+Q8+R8)*100</f>
        <v>76.3909826308349</v>
      </c>
      <c r="K9" s="23">
        <f>L9+M9+N9+O9+P9+Q9+R9-H10-H11-H12-H13-H14</f>
        <v>3161735.0299999993</v>
      </c>
      <c r="L9" s="25">
        <v>112816</v>
      </c>
      <c r="M9" s="25">
        <v>1000000</v>
      </c>
      <c r="N9" s="25">
        <f>1500000+1000000</f>
        <v>2500000</v>
      </c>
      <c r="O9" s="25">
        <f>2000000+5000000-1000000</f>
        <v>6000000</v>
      </c>
      <c r="P9" s="25">
        <f>2000000+3000000-1000000-1286764.24</f>
        <v>2713235.76</v>
      </c>
      <c r="Q9" s="25">
        <f>2000000+1000000+1000000-342535.4</f>
        <v>3657464.6</v>
      </c>
      <c r="R9" s="25">
        <f>1340484+400000-309104.61</f>
        <v>1431379.3900000001</v>
      </c>
      <c r="S9" s="25">
        <f>630000+300000-309316</f>
        <v>620684</v>
      </c>
      <c r="T9" s="25">
        <f>500000+300000-163391</f>
        <v>636609</v>
      </c>
      <c r="U9" s="25">
        <f>500000-176556</f>
        <v>323444</v>
      </c>
      <c r="V9" s="25">
        <v>155286.11</v>
      </c>
      <c r="W9" s="25"/>
      <c r="X9" s="25">
        <f>SUM(L9:W9)</f>
        <v>19150918.86</v>
      </c>
      <c r="Y9" s="75"/>
    </row>
    <row r="10" spans="1:25" ht="18.75">
      <c r="A10" s="1"/>
      <c r="B10" s="21"/>
      <c r="C10" s="24" t="s">
        <v>19</v>
      </c>
      <c r="D10" s="25">
        <f>E10+F10</f>
        <v>13699000</v>
      </c>
      <c r="E10" s="25">
        <f>5351600+10000000+764500-2417100</f>
        <v>13699000</v>
      </c>
      <c r="F10" s="23"/>
      <c r="G10" s="23"/>
      <c r="H10" s="25">
        <f>1079291.2+374029.81+392726.79+335210.14+1166784.37+248971.54+78055.41+504121.7+256249.78+7283.04+468186.86+120316.26+189729.87+763675.19+275601.44+1958304.53+164663.71+1758751.5+1175455.08</f>
        <v>11317408.22</v>
      </c>
      <c r="I10" s="49">
        <f>H10/D10*100</f>
        <v>82.61484940506607</v>
      </c>
      <c r="J10" s="86">
        <f>(H10+H11+H12+H13+H14)/(L9+M9+N9+O9+P9+Q9+R9)*100</f>
        <v>81.84465140998618</v>
      </c>
      <c r="K10" s="54">
        <f>E10-H10</f>
        <v>2381591.7799999993</v>
      </c>
      <c r="Y10" s="75"/>
    </row>
    <row r="11" spans="1:25" ht="18.75">
      <c r="A11" s="1"/>
      <c r="B11" s="21"/>
      <c r="C11" s="24" t="s">
        <v>20</v>
      </c>
      <c r="D11" s="25">
        <f>E11+F11</f>
        <v>461476.0799999996</v>
      </c>
      <c r="E11" s="25">
        <f>982900+2417100-506142.78-2432381.14</f>
        <v>461476.0799999996</v>
      </c>
      <c r="F11" s="23"/>
      <c r="G11" s="23"/>
      <c r="H11" s="43"/>
      <c r="I11" s="49"/>
      <c r="J11" s="87"/>
      <c r="K11" s="54">
        <f>E11-H11</f>
        <v>461476.0799999996</v>
      </c>
      <c r="Y11" s="75"/>
    </row>
    <row r="12" spans="1:25" s="4" customFormat="1" ht="18.75">
      <c r="A12" s="1"/>
      <c r="B12" s="5"/>
      <c r="C12" s="24" t="s">
        <v>21</v>
      </c>
      <c r="D12" s="25">
        <f>E12+F12</f>
        <v>2690442.7800000003</v>
      </c>
      <c r="E12" s="25">
        <f>2184300+506142.78</f>
        <v>2690442.7800000003</v>
      </c>
      <c r="F12" s="23"/>
      <c r="G12" s="23"/>
      <c r="H12" s="25">
        <f>331467.14+106925.68+394576.92+560896.43+312913.8+181149.71+154261.46+51750.36</f>
        <v>2093941.5</v>
      </c>
      <c r="I12" s="49">
        <f aca="true" t="shared" si="1" ref="I12:I22">H12/D12*100</f>
        <v>77.82888064246436</v>
      </c>
      <c r="J12" s="87"/>
      <c r="K12" s="54">
        <f>E12-H12</f>
        <v>596501.2800000003</v>
      </c>
      <c r="Y12" s="75"/>
    </row>
    <row r="13" spans="1:25" ht="18.75">
      <c r="A13" s="1"/>
      <c r="B13" s="21"/>
      <c r="C13" s="24" t="s">
        <v>5</v>
      </c>
      <c r="D13" s="25">
        <f>E13+F13</f>
        <v>2000000</v>
      </c>
      <c r="E13" s="25">
        <v>2000000</v>
      </c>
      <c r="F13" s="23"/>
      <c r="G13" s="23"/>
      <c r="H13" s="25">
        <f>112816+55640+105284+65797+148786+73708+205280</f>
        <v>767311</v>
      </c>
      <c r="I13" s="49">
        <f t="shared" si="1"/>
        <v>38.36555</v>
      </c>
      <c r="J13" s="87"/>
      <c r="K13" s="54">
        <f>E13-H13</f>
        <v>1232689</v>
      </c>
      <c r="Y13" s="75"/>
    </row>
    <row r="14" spans="1:25" ht="41.25" customHeight="1">
      <c r="A14" s="1"/>
      <c r="B14" s="21"/>
      <c r="C14" s="24" t="s">
        <v>22</v>
      </c>
      <c r="D14" s="25">
        <f>E14+F14</f>
        <v>300000</v>
      </c>
      <c r="E14" s="25">
        <v>300000</v>
      </c>
      <c r="F14" s="23"/>
      <c r="G14" s="23"/>
      <c r="H14" s="25">
        <f>74500</f>
        <v>74500</v>
      </c>
      <c r="I14" s="49">
        <f t="shared" si="1"/>
        <v>24.833333333333332</v>
      </c>
      <c r="J14" s="88"/>
      <c r="K14" s="54">
        <f>E14-H14</f>
        <v>225500</v>
      </c>
      <c r="Y14" s="75"/>
    </row>
    <row r="15" spans="1:25" ht="37.5">
      <c r="A15" s="1"/>
      <c r="B15" s="21"/>
      <c r="C15" s="24" t="s">
        <v>6</v>
      </c>
      <c r="D15" s="25">
        <f>D17+D18+D19+D20+D21+D22+D16</f>
        <v>11985700</v>
      </c>
      <c r="E15" s="25">
        <f>E17+E18+E19+E20+E21+E22+E16</f>
        <v>11985700</v>
      </c>
      <c r="F15" s="25"/>
      <c r="G15" s="12"/>
      <c r="H15" s="25">
        <f>H19+H16+H17+H18+H20+H21+H22</f>
        <v>5658956.47</v>
      </c>
      <c r="I15" s="49">
        <f t="shared" si="1"/>
        <v>47.21423421243649</v>
      </c>
      <c r="J15" s="86">
        <f>H15/(L15+M15+N15+O15+P15+Q15+R15)*100</f>
        <v>65.41267938891995</v>
      </c>
      <c r="K15" s="55">
        <f>L15+M15+N15+O15+P15+Q15+R15-H15</f>
        <v>2992204.9300000006</v>
      </c>
      <c r="L15" s="25">
        <v>0</v>
      </c>
      <c r="M15" s="25">
        <v>300000</v>
      </c>
      <c r="N15" s="25">
        <f>700000+500000</f>
        <v>1200000</v>
      </c>
      <c r="O15" s="25">
        <f>1000000+2500000-1000000</f>
        <v>2500000</v>
      </c>
      <c r="P15" s="25">
        <f>1000000+1000000-1000000+756736</f>
        <v>1756736</v>
      </c>
      <c r="Q15" s="25">
        <f>1000000+1000000-141274.6</f>
        <v>1858725.4</v>
      </c>
      <c r="R15" s="25">
        <f>410700+600000+25000</f>
        <v>1035700</v>
      </c>
      <c r="S15" s="25">
        <f>150000+700000+1008938</f>
        <v>1858938</v>
      </c>
      <c r="T15" s="25">
        <f>150000+700000+234326</f>
        <v>1084326</v>
      </c>
      <c r="U15" s="25">
        <v>150000</v>
      </c>
      <c r="V15" s="25">
        <v>150000</v>
      </c>
      <c r="W15" s="25">
        <f>150000-58725.4</f>
        <v>91274.6</v>
      </c>
      <c r="X15" s="23">
        <f>SUM(L15:W15)</f>
        <v>11985700</v>
      </c>
      <c r="Y15" s="75"/>
    </row>
    <row r="16" spans="1:25" ht="18.75">
      <c r="A16" s="1"/>
      <c r="B16" s="21"/>
      <c r="C16" s="26" t="s">
        <v>23</v>
      </c>
      <c r="D16" s="27">
        <f aca="true" t="shared" si="2" ref="D16:D21">E16</f>
        <v>4093500</v>
      </c>
      <c r="E16" s="25">
        <f>2293500+2000000-200000</f>
        <v>4093500</v>
      </c>
      <c r="F16" s="25"/>
      <c r="G16" s="12"/>
      <c r="H16" s="27">
        <f>4200+32600+91719.85+64356+30110+519418+34450+152846.99+345073.34+75825.11+63904.8+52004.8+408177.93+113281.63+86646.35+175891.44+47207.5+141343+42415-48844.8-7632-59492+86112.27</f>
        <v>2451615.2100000004</v>
      </c>
      <c r="I16" s="50">
        <f>H16/D16*100</f>
        <v>59.890441187248086</v>
      </c>
      <c r="J16" s="87"/>
      <c r="K16" s="68"/>
      <c r="Y16" s="75"/>
    </row>
    <row r="17" spans="1:25" ht="18.75">
      <c r="A17" s="1"/>
      <c r="B17" s="21"/>
      <c r="C17" s="26" t="s">
        <v>24</v>
      </c>
      <c r="D17" s="27">
        <f t="shared" si="2"/>
        <v>5327600</v>
      </c>
      <c r="E17" s="27">
        <f>327600+3000000+2000000</f>
        <v>5327600</v>
      </c>
      <c r="F17" s="27"/>
      <c r="G17" s="28"/>
      <c r="H17" s="27">
        <f>967227.6+543559.2+129600+884272.8</f>
        <v>2524659.5999999996</v>
      </c>
      <c r="I17" s="50">
        <f>H17/D17*100</f>
        <v>47.38830993317816</v>
      </c>
      <c r="J17" s="87"/>
      <c r="K17" s="68"/>
      <c r="Y17" s="75"/>
    </row>
    <row r="18" spans="1:25" ht="18.75">
      <c r="A18" s="1"/>
      <c r="B18" s="21"/>
      <c r="C18" s="26" t="s">
        <v>25</v>
      </c>
      <c r="D18" s="27">
        <f t="shared" si="2"/>
        <v>680300</v>
      </c>
      <c r="E18" s="27">
        <f>655300+25000</f>
        <v>680300</v>
      </c>
      <c r="F18" s="27"/>
      <c r="G18" s="28"/>
      <c r="H18" s="46"/>
      <c r="I18" s="50"/>
      <c r="J18" s="87"/>
      <c r="K18" s="68"/>
      <c r="Y18" s="75"/>
    </row>
    <row r="19" spans="1:25" ht="37.5">
      <c r="A19" s="1"/>
      <c r="B19" s="21"/>
      <c r="C19" s="26" t="s">
        <v>26</v>
      </c>
      <c r="D19" s="27">
        <f t="shared" si="2"/>
        <v>819100</v>
      </c>
      <c r="E19" s="27">
        <v>819100</v>
      </c>
      <c r="F19" s="27"/>
      <c r="G19" s="28"/>
      <c r="H19" s="27">
        <f>128728.47+4200+9322.5+26497.92+3440+5590+58700.13+2532.5+23991.58+2600+7533.5+73825+19431.03+2080+81725.75+62856.25+16705.51</f>
        <v>529760.14</v>
      </c>
      <c r="I19" s="50">
        <f t="shared" si="1"/>
        <v>64.67588084482969</v>
      </c>
      <c r="J19" s="87"/>
      <c r="K19" s="68"/>
      <c r="Y19" s="75"/>
    </row>
    <row r="20" spans="1:25" ht="18.75">
      <c r="A20" s="1"/>
      <c r="B20" s="21"/>
      <c r="C20" s="26" t="s">
        <v>27</v>
      </c>
      <c r="D20" s="27">
        <f t="shared" si="2"/>
        <v>301100</v>
      </c>
      <c r="E20" s="27">
        <f>131100+170000</f>
        <v>301100</v>
      </c>
      <c r="F20" s="27"/>
      <c r="G20" s="28"/>
      <c r="H20" s="27">
        <f>48844.8+7632+59492</f>
        <v>115968.8</v>
      </c>
      <c r="I20" s="50"/>
      <c r="J20" s="87"/>
      <c r="K20" s="68"/>
      <c r="Y20" s="75"/>
    </row>
    <row r="21" spans="1:25" ht="18.75" customHeight="1">
      <c r="A21" s="1"/>
      <c r="B21" s="21"/>
      <c r="C21" s="26" t="s">
        <v>28</v>
      </c>
      <c r="D21" s="27">
        <f t="shared" si="2"/>
        <v>225900</v>
      </c>
      <c r="E21" s="27">
        <f>395900-170000</f>
        <v>225900</v>
      </c>
      <c r="F21" s="27"/>
      <c r="G21" s="28"/>
      <c r="H21" s="27">
        <f>23355.43</f>
        <v>23355.43</v>
      </c>
      <c r="I21" s="50">
        <f t="shared" si="1"/>
        <v>10.338835768038955</v>
      </c>
      <c r="J21" s="87"/>
      <c r="K21" s="68"/>
      <c r="Y21" s="75"/>
    </row>
    <row r="22" spans="1:25" ht="58.5" customHeight="1">
      <c r="A22" s="1"/>
      <c r="B22" s="21"/>
      <c r="C22" s="26" t="s">
        <v>29</v>
      </c>
      <c r="D22" s="27">
        <f>E22</f>
        <v>538200</v>
      </c>
      <c r="E22" s="27">
        <v>538200</v>
      </c>
      <c r="F22" s="27"/>
      <c r="G22" s="28"/>
      <c r="H22" s="27">
        <f>13333.72+209.18+54.39</f>
        <v>13597.289999999999</v>
      </c>
      <c r="I22" s="50">
        <f t="shared" si="1"/>
        <v>2.5264381270903007</v>
      </c>
      <c r="J22" s="88"/>
      <c r="K22" s="68"/>
      <c r="Y22" s="75"/>
    </row>
    <row r="23" spans="1:25" ht="26.25" customHeight="1">
      <c r="A23" s="1"/>
      <c r="B23" s="21"/>
      <c r="C23" s="29" t="s">
        <v>31</v>
      </c>
      <c r="D23" s="30">
        <f>SUM(D24:D48)</f>
        <v>88953400</v>
      </c>
      <c r="E23" s="30"/>
      <c r="F23" s="30">
        <f>SUM(F24:F48)</f>
        <v>88953400</v>
      </c>
      <c r="G23" s="30">
        <f>SUM(G24:G48)</f>
        <v>88953400</v>
      </c>
      <c r="H23" s="30">
        <f>SUM(H24:H48)</f>
        <v>43151137.61000001</v>
      </c>
      <c r="I23" s="48">
        <f>H23/D23*100</f>
        <v>48.50982380662236</v>
      </c>
      <c r="J23" s="74">
        <f>H23/(L23+M23+N23+O23+P23+Q23+R23)*100</f>
        <v>73.97480710784697</v>
      </c>
      <c r="K23" s="55">
        <f>L23+M23+N23+O23+P23+Q23+R23-H23</f>
        <v>15181069.389999993</v>
      </c>
      <c r="L23" s="67">
        <f aca="true" t="shared" si="3" ref="L23:X23">SUM(L24:L48)</f>
        <v>0</v>
      </c>
      <c r="M23" s="67">
        <f t="shared" si="3"/>
        <v>0</v>
      </c>
      <c r="N23" s="67">
        <f t="shared" si="3"/>
        <v>6140000</v>
      </c>
      <c r="O23" s="67">
        <f t="shared" si="3"/>
        <v>14486801.99</v>
      </c>
      <c r="P23" s="67">
        <f t="shared" si="3"/>
        <v>13603977.01</v>
      </c>
      <c r="Q23" s="67">
        <f t="shared" si="3"/>
        <v>3418235.38</v>
      </c>
      <c r="R23" s="67">
        <f t="shared" si="3"/>
        <v>20683192.62</v>
      </c>
      <c r="S23" s="67">
        <f t="shared" si="3"/>
        <v>9460927</v>
      </c>
      <c r="T23" s="67">
        <f t="shared" si="3"/>
        <v>2446582.25</v>
      </c>
      <c r="U23" s="67">
        <f t="shared" si="3"/>
        <v>9634229.57</v>
      </c>
      <c r="V23" s="67">
        <f t="shared" si="3"/>
        <v>4831115.18</v>
      </c>
      <c r="W23" s="67">
        <f t="shared" si="3"/>
        <v>4248339</v>
      </c>
      <c r="X23" s="67">
        <f t="shared" si="3"/>
        <v>88953400</v>
      </c>
      <c r="Y23" s="75">
        <f>D23-X23</f>
        <v>0</v>
      </c>
    </row>
    <row r="24" spans="1:25" ht="26.25" customHeight="1">
      <c r="A24" s="1"/>
      <c r="B24" s="21"/>
      <c r="C24" s="57" t="s">
        <v>56</v>
      </c>
      <c r="D24" s="33">
        <f>F24</f>
        <v>420000</v>
      </c>
      <c r="E24" s="30"/>
      <c r="F24" s="33">
        <f>G24</f>
        <v>420000</v>
      </c>
      <c r="G24" s="33">
        <f>200000+220000</f>
        <v>420000</v>
      </c>
      <c r="H24" s="25">
        <f>170000</f>
        <v>170000</v>
      </c>
      <c r="I24" s="49">
        <f>H24/D24*100</f>
        <v>40.476190476190474</v>
      </c>
      <c r="J24" s="73">
        <f>H24/(L24+M24+N24+O24+P24+Q24+R24)*100</f>
        <v>40.476190476190474</v>
      </c>
      <c r="K24" s="55">
        <f aca="true" t="shared" si="4" ref="K24:K48">L24+M24+N24+O24+P24+Q24+R24-H24</f>
        <v>250000</v>
      </c>
      <c r="L24" s="56"/>
      <c r="M24" s="45"/>
      <c r="N24" s="45">
        <v>100000</v>
      </c>
      <c r="O24" s="45">
        <v>100000</v>
      </c>
      <c r="P24" s="45"/>
      <c r="Q24" s="45"/>
      <c r="R24" s="45">
        <f>220000</f>
        <v>220000</v>
      </c>
      <c r="S24" s="45"/>
      <c r="T24" s="45">
        <f>220000-220000</f>
        <v>0</v>
      </c>
      <c r="U24" s="45"/>
      <c r="V24" s="45"/>
      <c r="W24" s="45"/>
      <c r="X24" s="66">
        <f>SUM(L24:W24)</f>
        <v>420000</v>
      </c>
      <c r="Y24" s="75">
        <f>D24-X24</f>
        <v>0</v>
      </c>
    </row>
    <row r="25" spans="1:25" ht="34.5" customHeight="1">
      <c r="A25" s="1"/>
      <c r="B25" s="21"/>
      <c r="C25" s="57" t="s">
        <v>57</v>
      </c>
      <c r="D25" s="33">
        <f aca="true" t="shared" si="5" ref="D25:D45">F25</f>
        <v>90000</v>
      </c>
      <c r="E25" s="30"/>
      <c r="F25" s="33">
        <f aca="true" t="shared" si="6" ref="F25:F45">G25</f>
        <v>90000</v>
      </c>
      <c r="G25" s="33">
        <v>90000</v>
      </c>
      <c r="H25" s="25"/>
      <c r="I25" s="48"/>
      <c r="J25" s="73"/>
      <c r="K25" s="55">
        <f t="shared" si="4"/>
        <v>0</v>
      </c>
      <c r="L25" s="56"/>
      <c r="M25" s="45"/>
      <c r="N25" s="45">
        <v>90000</v>
      </c>
      <c r="O25" s="45"/>
      <c r="P25" s="45"/>
      <c r="Q25" s="45">
        <f>-90000</f>
        <v>-90000</v>
      </c>
      <c r="R25" s="45"/>
      <c r="S25" s="45"/>
      <c r="T25" s="45">
        <f>90000</f>
        <v>90000</v>
      </c>
      <c r="U25" s="45"/>
      <c r="V25" s="45"/>
      <c r="W25" s="45"/>
      <c r="X25" s="66">
        <f aca="true" t="shared" si="7" ref="X25:X48">SUM(L25:W25)</f>
        <v>90000</v>
      </c>
      <c r="Y25" s="75">
        <f aca="true" t="shared" si="8" ref="Y25:Y88">D25-X25</f>
        <v>0</v>
      </c>
    </row>
    <row r="26" spans="1:25" ht="27" customHeight="1">
      <c r="A26" s="1"/>
      <c r="B26" s="21"/>
      <c r="C26" s="57" t="s">
        <v>108</v>
      </c>
      <c r="D26" s="33">
        <f t="shared" si="5"/>
        <v>40000</v>
      </c>
      <c r="E26" s="30"/>
      <c r="F26" s="33">
        <f t="shared" si="6"/>
        <v>40000</v>
      </c>
      <c r="G26" s="33">
        <f>590000-550000</f>
        <v>40000</v>
      </c>
      <c r="H26" s="25"/>
      <c r="I26" s="48"/>
      <c r="J26" s="73"/>
      <c r="K26" s="55">
        <f t="shared" si="4"/>
        <v>40000</v>
      </c>
      <c r="L26" s="56"/>
      <c r="M26" s="45"/>
      <c r="N26" s="45"/>
      <c r="O26" s="45"/>
      <c r="P26" s="45"/>
      <c r="Q26" s="45"/>
      <c r="R26" s="45">
        <f>40000</f>
        <v>40000</v>
      </c>
      <c r="S26" s="45"/>
      <c r="T26" s="45"/>
      <c r="U26" s="45">
        <f>420000-420000</f>
        <v>0</v>
      </c>
      <c r="V26" s="45">
        <f>170000-130000-40000</f>
        <v>0</v>
      </c>
      <c r="W26" s="45"/>
      <c r="X26" s="66">
        <f t="shared" si="7"/>
        <v>40000</v>
      </c>
      <c r="Y26" s="75">
        <f t="shared" si="8"/>
        <v>0</v>
      </c>
    </row>
    <row r="27" spans="1:25" ht="23.25" customHeight="1">
      <c r="A27" s="1"/>
      <c r="B27" s="21"/>
      <c r="C27" s="57" t="s">
        <v>58</v>
      </c>
      <c r="D27" s="33">
        <f t="shared" si="5"/>
        <v>471000</v>
      </c>
      <c r="E27" s="30"/>
      <c r="F27" s="33">
        <f t="shared" si="6"/>
        <v>471000</v>
      </c>
      <c r="G27" s="33">
        <v>471000</v>
      </c>
      <c r="H27" s="25">
        <f>270000</f>
        <v>270000</v>
      </c>
      <c r="I27" s="49">
        <f>H27/D27*100</f>
        <v>57.324840764331206</v>
      </c>
      <c r="J27" s="73">
        <f aca="true" t="shared" si="9" ref="J27:J89">H27/(L27+M27+N27+O27+P27+Q27+R27)*100</f>
        <v>57.324840764331206</v>
      </c>
      <c r="K27" s="55">
        <f t="shared" si="4"/>
        <v>201000</v>
      </c>
      <c r="L27" s="56"/>
      <c r="M27" s="45"/>
      <c r="N27" s="45">
        <v>300000</v>
      </c>
      <c r="O27" s="45">
        <v>171000</v>
      </c>
      <c r="P27" s="45"/>
      <c r="Q27" s="45">
        <f>-471000</f>
        <v>-471000</v>
      </c>
      <c r="R27" s="45">
        <f>471000</f>
        <v>471000</v>
      </c>
      <c r="S27" s="45"/>
      <c r="T27" s="45"/>
      <c r="U27" s="45"/>
      <c r="V27" s="45"/>
      <c r="W27" s="45"/>
      <c r="X27" s="66">
        <f t="shared" si="7"/>
        <v>471000</v>
      </c>
      <c r="Y27" s="75">
        <f t="shared" si="8"/>
        <v>0</v>
      </c>
    </row>
    <row r="28" spans="1:25" ht="23.25" customHeight="1">
      <c r="A28" s="1"/>
      <c r="B28" s="21"/>
      <c r="C28" s="57" t="s">
        <v>59</v>
      </c>
      <c r="D28" s="33">
        <f t="shared" si="5"/>
        <v>320000</v>
      </c>
      <c r="E28" s="30"/>
      <c r="F28" s="33">
        <f t="shared" si="6"/>
        <v>320000</v>
      </c>
      <c r="G28" s="33">
        <v>320000</v>
      </c>
      <c r="H28" s="25">
        <f>20000+15000+230000</f>
        <v>265000</v>
      </c>
      <c r="I28" s="49">
        <f>H28/D28*100</f>
        <v>82.8125</v>
      </c>
      <c r="J28" s="73">
        <f t="shared" si="9"/>
        <v>82.8125</v>
      </c>
      <c r="K28" s="55">
        <f t="shared" si="4"/>
        <v>55000</v>
      </c>
      <c r="L28" s="56"/>
      <c r="M28" s="45"/>
      <c r="N28" s="45">
        <v>120000</v>
      </c>
      <c r="O28" s="45">
        <v>200000</v>
      </c>
      <c r="P28" s="45"/>
      <c r="Q28" s="45">
        <f>-100000</f>
        <v>-100000</v>
      </c>
      <c r="R28" s="45">
        <f>100000</f>
        <v>100000</v>
      </c>
      <c r="S28" s="45">
        <f>100000-100000</f>
        <v>0</v>
      </c>
      <c r="T28" s="45"/>
      <c r="U28" s="45"/>
      <c r="V28" s="45"/>
      <c r="W28" s="45"/>
      <c r="X28" s="66">
        <f t="shared" si="7"/>
        <v>320000</v>
      </c>
      <c r="Y28" s="75">
        <f t="shared" si="8"/>
        <v>0</v>
      </c>
    </row>
    <row r="29" spans="1:25" ht="21" customHeight="1">
      <c r="A29" s="1"/>
      <c r="B29" s="21"/>
      <c r="C29" s="57" t="s">
        <v>60</v>
      </c>
      <c r="D29" s="33">
        <f t="shared" si="5"/>
        <v>250000</v>
      </c>
      <c r="E29" s="30"/>
      <c r="F29" s="33">
        <f t="shared" si="6"/>
        <v>250000</v>
      </c>
      <c r="G29" s="33">
        <v>250000</v>
      </c>
      <c r="H29" s="25">
        <f>20000+15000</f>
        <v>35000</v>
      </c>
      <c r="I29" s="49">
        <f>H29/D29*100</f>
        <v>14.000000000000002</v>
      </c>
      <c r="J29" s="73">
        <f t="shared" si="9"/>
        <v>14.000000000000002</v>
      </c>
      <c r="K29" s="55">
        <f t="shared" si="4"/>
        <v>215000</v>
      </c>
      <c r="L29" s="56"/>
      <c r="M29" s="45"/>
      <c r="N29" s="45">
        <v>250000</v>
      </c>
      <c r="O29" s="45"/>
      <c r="P29" s="45"/>
      <c r="Q29" s="45">
        <f>-80000</f>
        <v>-80000</v>
      </c>
      <c r="R29" s="45">
        <f>80000</f>
        <v>80000</v>
      </c>
      <c r="S29" s="45">
        <f>80000-80000</f>
        <v>0</v>
      </c>
      <c r="T29" s="45"/>
      <c r="U29" s="45"/>
      <c r="V29" s="45"/>
      <c r="W29" s="45"/>
      <c r="X29" s="66">
        <f t="shared" si="7"/>
        <v>250000</v>
      </c>
      <c r="Y29" s="75">
        <f t="shared" si="8"/>
        <v>0</v>
      </c>
    </row>
    <row r="30" spans="1:25" ht="21" customHeight="1">
      <c r="A30" s="1"/>
      <c r="B30" s="21"/>
      <c r="C30" s="57" t="s">
        <v>114</v>
      </c>
      <c r="D30" s="33">
        <f t="shared" si="5"/>
        <v>700000</v>
      </c>
      <c r="E30" s="30"/>
      <c r="F30" s="33">
        <f t="shared" si="6"/>
        <v>700000</v>
      </c>
      <c r="G30" s="33">
        <f>700000</f>
        <v>700000</v>
      </c>
      <c r="H30" s="25"/>
      <c r="I30" s="49"/>
      <c r="J30" s="73">
        <f t="shared" si="9"/>
        <v>0</v>
      </c>
      <c r="K30" s="55">
        <f t="shared" si="4"/>
        <v>700000</v>
      </c>
      <c r="L30" s="56"/>
      <c r="M30" s="45"/>
      <c r="N30" s="45"/>
      <c r="O30" s="45"/>
      <c r="P30" s="45"/>
      <c r="Q30" s="45">
        <f>700000-200000</f>
        <v>500000</v>
      </c>
      <c r="R30" s="45">
        <f>200000</f>
        <v>200000</v>
      </c>
      <c r="S30" s="45">
        <f>700000-700000</f>
        <v>0</v>
      </c>
      <c r="T30" s="45"/>
      <c r="U30" s="45"/>
      <c r="V30" s="45"/>
      <c r="W30" s="45"/>
      <c r="X30" s="66">
        <f t="shared" si="7"/>
        <v>700000</v>
      </c>
      <c r="Y30" s="75">
        <f t="shared" si="8"/>
        <v>0</v>
      </c>
    </row>
    <row r="31" spans="1:25" ht="24" customHeight="1">
      <c r="A31" s="1"/>
      <c r="B31" s="21"/>
      <c r="C31" s="57" t="s">
        <v>61</v>
      </c>
      <c r="D31" s="33">
        <f t="shared" si="5"/>
        <v>291000</v>
      </c>
      <c r="E31" s="30"/>
      <c r="F31" s="33">
        <f t="shared" si="6"/>
        <v>291000</v>
      </c>
      <c r="G31" s="33">
        <v>291000</v>
      </c>
      <c r="H31" s="25"/>
      <c r="I31" s="48"/>
      <c r="J31" s="73"/>
      <c r="K31" s="55">
        <f t="shared" si="4"/>
        <v>0</v>
      </c>
      <c r="L31" s="56"/>
      <c r="M31" s="45"/>
      <c r="N31" s="45"/>
      <c r="O31" s="45"/>
      <c r="P31" s="45"/>
      <c r="Q31" s="45"/>
      <c r="R31" s="45"/>
      <c r="S31" s="45"/>
      <c r="T31" s="45"/>
      <c r="U31" s="45">
        <v>50000</v>
      </c>
      <c r="V31" s="45">
        <v>241000</v>
      </c>
      <c r="W31" s="45"/>
      <c r="X31" s="66">
        <f t="shared" si="7"/>
        <v>291000</v>
      </c>
      <c r="Y31" s="75">
        <f t="shared" si="8"/>
        <v>0</v>
      </c>
    </row>
    <row r="32" spans="1:25" ht="24" customHeight="1">
      <c r="A32" s="1"/>
      <c r="B32" s="21"/>
      <c r="C32" s="57" t="s">
        <v>112</v>
      </c>
      <c r="D32" s="33">
        <f t="shared" si="5"/>
        <v>700000</v>
      </c>
      <c r="E32" s="30"/>
      <c r="F32" s="33">
        <f t="shared" si="6"/>
        <v>700000</v>
      </c>
      <c r="G32" s="33">
        <f>700000</f>
        <v>700000</v>
      </c>
      <c r="H32" s="25">
        <v>14000</v>
      </c>
      <c r="I32" s="49">
        <f>H32/D32*100</f>
        <v>2</v>
      </c>
      <c r="J32" s="73">
        <f t="shared" si="9"/>
        <v>3.099669885157231</v>
      </c>
      <c r="K32" s="55">
        <f t="shared" si="4"/>
        <v>437661</v>
      </c>
      <c r="L32" s="56"/>
      <c r="M32" s="45"/>
      <c r="N32" s="45"/>
      <c r="O32" s="45"/>
      <c r="P32" s="45">
        <f>300000-100000</f>
        <v>200000</v>
      </c>
      <c r="Q32" s="45">
        <v>146801.38</v>
      </c>
      <c r="R32" s="45">
        <f>253198.62-248339+100000</f>
        <v>104859.62</v>
      </c>
      <c r="S32" s="45"/>
      <c r="T32" s="45">
        <f>100000-100000</f>
        <v>0</v>
      </c>
      <c r="U32" s="45"/>
      <c r="V32" s="45"/>
      <c r="W32" s="45">
        <v>248339</v>
      </c>
      <c r="X32" s="66">
        <f>SUM(L32:W32)</f>
        <v>700000</v>
      </c>
      <c r="Y32" s="75">
        <f t="shared" si="8"/>
        <v>0</v>
      </c>
    </row>
    <row r="33" spans="1:25" ht="24.75" customHeight="1">
      <c r="A33" s="1"/>
      <c r="B33" s="21"/>
      <c r="C33" s="57" t="s">
        <v>62</v>
      </c>
      <c r="D33" s="33">
        <f t="shared" si="5"/>
        <v>80000</v>
      </c>
      <c r="E33" s="30"/>
      <c r="F33" s="33">
        <f t="shared" si="6"/>
        <v>80000</v>
      </c>
      <c r="G33" s="33">
        <v>80000</v>
      </c>
      <c r="H33" s="43"/>
      <c r="I33" s="49"/>
      <c r="J33" s="73"/>
      <c r="K33" s="55">
        <f t="shared" si="4"/>
        <v>0</v>
      </c>
      <c r="L33" s="56"/>
      <c r="M33" s="45"/>
      <c r="N33" s="45">
        <v>80000</v>
      </c>
      <c r="O33" s="45"/>
      <c r="P33" s="45"/>
      <c r="Q33" s="45">
        <f>-80000</f>
        <v>-80000</v>
      </c>
      <c r="R33" s="45"/>
      <c r="S33" s="45"/>
      <c r="T33" s="45">
        <f>80000</f>
        <v>80000</v>
      </c>
      <c r="U33" s="45"/>
      <c r="V33" s="45"/>
      <c r="W33" s="45"/>
      <c r="X33" s="66">
        <f t="shared" si="7"/>
        <v>80000</v>
      </c>
      <c r="Y33" s="75">
        <f t="shared" si="8"/>
        <v>0</v>
      </c>
    </row>
    <row r="34" spans="1:25" ht="21" customHeight="1">
      <c r="A34" s="1"/>
      <c r="B34" s="21"/>
      <c r="C34" s="57" t="s">
        <v>63</v>
      </c>
      <c r="D34" s="33">
        <f t="shared" si="5"/>
        <v>7000000</v>
      </c>
      <c r="E34" s="30"/>
      <c r="F34" s="33">
        <f t="shared" si="6"/>
        <v>7000000</v>
      </c>
      <c r="G34" s="33">
        <v>7000000</v>
      </c>
      <c r="H34" s="25">
        <f>146000+118000</f>
        <v>264000</v>
      </c>
      <c r="I34" s="49">
        <f>H34/D34*100</f>
        <v>3.7714285714285714</v>
      </c>
      <c r="J34" s="73">
        <f t="shared" si="9"/>
        <v>6.191369606003752</v>
      </c>
      <c r="K34" s="55">
        <f t="shared" si="4"/>
        <v>4000000</v>
      </c>
      <c r="L34" s="56"/>
      <c r="M34" s="45"/>
      <c r="N34" s="45"/>
      <c r="O34" s="45">
        <v>500000</v>
      </c>
      <c r="P34" s="45"/>
      <c r="Q34" s="45">
        <f>-236000</f>
        <v>-236000</v>
      </c>
      <c r="R34" s="45">
        <v>4000000</v>
      </c>
      <c r="S34" s="45">
        <f>236000</f>
        <v>236000</v>
      </c>
      <c r="T34" s="45"/>
      <c r="U34" s="45">
        <v>2500000</v>
      </c>
      <c r="V34" s="45"/>
      <c r="W34" s="45"/>
      <c r="X34" s="66">
        <f t="shared" si="7"/>
        <v>7000000</v>
      </c>
      <c r="Y34" s="75">
        <f t="shared" si="8"/>
        <v>0</v>
      </c>
    </row>
    <row r="35" spans="1:25" ht="26.25" customHeight="1">
      <c r="A35" s="1"/>
      <c r="B35" s="21"/>
      <c r="C35" s="57" t="s">
        <v>64</v>
      </c>
      <c r="D35" s="33">
        <f t="shared" si="5"/>
        <v>60000</v>
      </c>
      <c r="E35" s="30"/>
      <c r="F35" s="33">
        <f t="shared" si="6"/>
        <v>60000</v>
      </c>
      <c r="G35" s="33">
        <v>60000</v>
      </c>
      <c r="H35" s="43"/>
      <c r="I35" s="49"/>
      <c r="J35" s="73"/>
      <c r="K35" s="55">
        <f t="shared" si="4"/>
        <v>0</v>
      </c>
      <c r="L35" s="56"/>
      <c r="M35" s="45"/>
      <c r="N35" s="45">
        <v>60000</v>
      </c>
      <c r="O35" s="45"/>
      <c r="P35" s="45"/>
      <c r="Q35" s="45">
        <f>-60000</f>
        <v>-60000</v>
      </c>
      <c r="R35" s="45"/>
      <c r="S35" s="45"/>
      <c r="T35" s="45"/>
      <c r="U35" s="45">
        <f>60000</f>
        <v>60000</v>
      </c>
      <c r="V35" s="45"/>
      <c r="W35" s="45"/>
      <c r="X35" s="66">
        <f t="shared" si="7"/>
        <v>60000</v>
      </c>
      <c r="Y35" s="75">
        <f t="shared" si="8"/>
        <v>0</v>
      </c>
    </row>
    <row r="36" spans="1:25" ht="26.25" customHeight="1">
      <c r="A36" s="1"/>
      <c r="B36" s="21"/>
      <c r="C36" s="57" t="s">
        <v>65</v>
      </c>
      <c r="D36" s="33">
        <f t="shared" si="5"/>
        <v>90000</v>
      </c>
      <c r="E36" s="30"/>
      <c r="F36" s="33">
        <f t="shared" si="6"/>
        <v>90000</v>
      </c>
      <c r="G36" s="33">
        <v>90000</v>
      </c>
      <c r="H36" s="43"/>
      <c r="I36" s="49"/>
      <c r="J36" s="73">
        <f t="shared" si="9"/>
        <v>0</v>
      </c>
      <c r="K36" s="55">
        <f t="shared" si="4"/>
        <v>20000</v>
      </c>
      <c r="L36" s="56"/>
      <c r="M36" s="45"/>
      <c r="N36" s="45">
        <v>90000</v>
      </c>
      <c r="O36" s="45"/>
      <c r="P36" s="45"/>
      <c r="Q36" s="45">
        <f>-70000</f>
        <v>-70000</v>
      </c>
      <c r="R36" s="45"/>
      <c r="S36" s="45"/>
      <c r="T36" s="45"/>
      <c r="U36" s="45">
        <f>70000</f>
        <v>70000</v>
      </c>
      <c r="V36" s="45"/>
      <c r="W36" s="45"/>
      <c r="X36" s="66">
        <f t="shared" si="7"/>
        <v>90000</v>
      </c>
      <c r="Y36" s="75">
        <f t="shared" si="8"/>
        <v>0</v>
      </c>
    </row>
    <row r="37" spans="1:25" ht="26.25" customHeight="1">
      <c r="A37" s="1"/>
      <c r="B37" s="21"/>
      <c r="C37" s="57" t="s">
        <v>66</v>
      </c>
      <c r="D37" s="33">
        <f t="shared" si="5"/>
        <v>50000</v>
      </c>
      <c r="E37" s="30"/>
      <c r="F37" s="33">
        <f t="shared" si="6"/>
        <v>50000</v>
      </c>
      <c r="G37" s="33">
        <v>50000</v>
      </c>
      <c r="H37" s="43"/>
      <c r="I37" s="49"/>
      <c r="J37" s="73"/>
      <c r="K37" s="55">
        <f t="shared" si="4"/>
        <v>0</v>
      </c>
      <c r="L37" s="56"/>
      <c r="M37" s="45"/>
      <c r="N37" s="45">
        <v>50000</v>
      </c>
      <c r="O37" s="45"/>
      <c r="P37" s="45"/>
      <c r="Q37" s="45">
        <v>-50000</v>
      </c>
      <c r="R37" s="45"/>
      <c r="S37" s="45"/>
      <c r="T37" s="45"/>
      <c r="U37" s="45">
        <f>50000</f>
        <v>50000</v>
      </c>
      <c r="V37" s="45"/>
      <c r="W37" s="45"/>
      <c r="X37" s="66">
        <f t="shared" si="7"/>
        <v>50000</v>
      </c>
      <c r="Y37" s="75">
        <f t="shared" si="8"/>
        <v>0</v>
      </c>
    </row>
    <row r="38" spans="1:25" ht="23.25" customHeight="1">
      <c r="A38" s="1"/>
      <c r="B38" s="21"/>
      <c r="C38" s="57" t="s">
        <v>67</v>
      </c>
      <c r="D38" s="33">
        <f t="shared" si="5"/>
        <v>23000000</v>
      </c>
      <c r="E38" s="30"/>
      <c r="F38" s="33">
        <f t="shared" si="6"/>
        <v>23000000</v>
      </c>
      <c r="G38" s="33">
        <v>23000000</v>
      </c>
      <c r="H38" s="25">
        <f>250000+350000+11000000</f>
        <v>11600000</v>
      </c>
      <c r="I38" s="49">
        <f aca="true" t="shared" si="10" ref="I38:I44">H38/D38*100</f>
        <v>50.43478260869565</v>
      </c>
      <c r="J38" s="73">
        <f t="shared" si="9"/>
        <v>99.31506849315068</v>
      </c>
      <c r="K38" s="55">
        <f t="shared" si="4"/>
        <v>80000</v>
      </c>
      <c r="L38" s="56"/>
      <c r="M38" s="45"/>
      <c r="N38" s="45"/>
      <c r="O38" s="45">
        <f>500000+100000</f>
        <v>600000</v>
      </c>
      <c r="P38" s="45"/>
      <c r="Q38" s="45"/>
      <c r="R38" s="45">
        <v>11080000</v>
      </c>
      <c r="S38" s="45">
        <v>820000</v>
      </c>
      <c r="T38" s="45"/>
      <c r="U38" s="45">
        <f>152379.64+3774249.93</f>
        <v>3926629.5700000003</v>
      </c>
      <c r="V38" s="45">
        <v>3073370.4299999997</v>
      </c>
      <c r="W38" s="45">
        <v>3500000</v>
      </c>
      <c r="X38" s="66">
        <f t="shared" si="7"/>
        <v>23000000</v>
      </c>
      <c r="Y38" s="75">
        <f t="shared" si="8"/>
        <v>0</v>
      </c>
    </row>
    <row r="39" spans="1:25" ht="22.5" customHeight="1">
      <c r="A39" s="1"/>
      <c r="B39" s="21"/>
      <c r="C39" s="57" t="s">
        <v>68</v>
      </c>
      <c r="D39" s="33">
        <f t="shared" si="5"/>
        <v>1466600</v>
      </c>
      <c r="E39" s="30"/>
      <c r="F39" s="33">
        <f t="shared" si="6"/>
        <v>1466600</v>
      </c>
      <c r="G39" s="33">
        <f>1281600+185000</f>
        <v>1466600</v>
      </c>
      <c r="H39" s="25">
        <f>80000+35000</f>
        <v>115000</v>
      </c>
      <c r="I39" s="49">
        <f t="shared" si="10"/>
        <v>7.8412655120687305</v>
      </c>
      <c r="J39" s="73">
        <f t="shared" si="9"/>
        <v>16.872065727699532</v>
      </c>
      <c r="K39" s="55">
        <f t="shared" si="4"/>
        <v>566600</v>
      </c>
      <c r="L39" s="56"/>
      <c r="M39" s="45"/>
      <c r="N39" s="45">
        <v>100000</v>
      </c>
      <c r="O39" s="45">
        <v>681600</v>
      </c>
      <c r="P39" s="45">
        <v>500000</v>
      </c>
      <c r="Q39" s="45">
        <f>-600000</f>
        <v>-600000</v>
      </c>
      <c r="R39" s="45"/>
      <c r="S39" s="45">
        <f>600000</f>
        <v>600000</v>
      </c>
      <c r="T39" s="45"/>
      <c r="U39" s="45">
        <f>50000</f>
        <v>50000</v>
      </c>
      <c r="V39" s="45">
        <f>135000</f>
        <v>135000</v>
      </c>
      <c r="W39" s="45"/>
      <c r="X39" s="66">
        <f t="shared" si="7"/>
        <v>1466600</v>
      </c>
      <c r="Y39" s="75">
        <f t="shared" si="8"/>
        <v>0</v>
      </c>
    </row>
    <row r="40" spans="1:25" ht="22.5" customHeight="1">
      <c r="A40" s="1"/>
      <c r="B40" s="21"/>
      <c r="C40" s="24" t="s">
        <v>110</v>
      </c>
      <c r="D40" s="33">
        <f t="shared" si="5"/>
        <v>21885040</v>
      </c>
      <c r="E40" s="30"/>
      <c r="F40" s="33">
        <f t="shared" si="6"/>
        <v>21885040</v>
      </c>
      <c r="G40" s="33">
        <f>7000000+11550000+3335040</f>
        <v>21885040</v>
      </c>
      <c r="H40" s="25">
        <f>75000+75000+75000+75000+75000+39000+1600000+35000+1475000+377786.33+128012.49+2200000+50000+30000+35000+422065.03+30000+56670+76050+7050+67950+52185+1000000+353093.67+4473571.2+41000+30000+30000+153050+35000+2857272.74+30000+473252.8+70000</f>
        <v>16603009.260000004</v>
      </c>
      <c r="I40" s="49">
        <f t="shared" si="10"/>
        <v>75.86465119551988</v>
      </c>
      <c r="J40" s="73">
        <f t="shared" si="9"/>
        <v>79.95180098036853</v>
      </c>
      <c r="K40" s="55">
        <f t="shared" si="4"/>
        <v>4163263.7399999965</v>
      </c>
      <c r="L40" s="56"/>
      <c r="M40" s="45"/>
      <c r="N40" s="45"/>
      <c r="O40" s="45">
        <v>3690333</v>
      </c>
      <c r="P40" s="45">
        <f>3309667+2921513</f>
        <v>6231180</v>
      </c>
      <c r="Q40" s="45">
        <v>8519000</v>
      </c>
      <c r="R40" s="45">
        <f>2700000-1677900-660000+1963660</f>
        <v>2325760</v>
      </c>
      <c r="S40" s="45">
        <f>1177427-58660</f>
        <v>1118767</v>
      </c>
      <c r="T40" s="45">
        <f>1073488.25-1073488.25</f>
        <v>0</v>
      </c>
      <c r="U40" s="45">
        <f>701511.75-701511.75</f>
        <v>0</v>
      </c>
      <c r="V40" s="45">
        <f>130000-130000</f>
        <v>0</v>
      </c>
      <c r="W40" s="45"/>
      <c r="X40" s="66">
        <f t="shared" si="7"/>
        <v>21885040</v>
      </c>
      <c r="Y40" s="75">
        <f t="shared" si="8"/>
        <v>0</v>
      </c>
    </row>
    <row r="41" spans="1:25" ht="23.25" customHeight="1">
      <c r="A41" s="1"/>
      <c r="B41" s="21"/>
      <c r="C41" s="57" t="s">
        <v>69</v>
      </c>
      <c r="D41" s="33">
        <f t="shared" si="5"/>
        <v>5000000</v>
      </c>
      <c r="E41" s="30"/>
      <c r="F41" s="33">
        <f t="shared" si="6"/>
        <v>5000000</v>
      </c>
      <c r="G41" s="33">
        <v>5000000</v>
      </c>
      <c r="H41" s="25">
        <f>108000+2394100+780000+290000</f>
        <v>3572100</v>
      </c>
      <c r="I41" s="49">
        <f t="shared" si="10"/>
        <v>71.44200000000001</v>
      </c>
      <c r="J41" s="73">
        <f t="shared" si="9"/>
        <v>79.38</v>
      </c>
      <c r="K41" s="55">
        <f t="shared" si="4"/>
        <v>927900</v>
      </c>
      <c r="L41" s="56"/>
      <c r="M41" s="45"/>
      <c r="N41" s="45"/>
      <c r="O41" s="45">
        <v>2000000</v>
      </c>
      <c r="P41" s="45">
        <v>2000000</v>
      </c>
      <c r="Q41" s="45">
        <f>-427900</f>
        <v>-427900</v>
      </c>
      <c r="R41" s="45">
        <f>927900</f>
        <v>927900</v>
      </c>
      <c r="S41" s="45"/>
      <c r="T41" s="45"/>
      <c r="U41" s="45"/>
      <c r="V41" s="45"/>
      <c r="W41" s="45">
        <f>500000</f>
        <v>500000</v>
      </c>
      <c r="X41" s="66">
        <f t="shared" si="7"/>
        <v>5000000</v>
      </c>
      <c r="Y41" s="75">
        <f t="shared" si="8"/>
        <v>0</v>
      </c>
    </row>
    <row r="42" spans="1:25" ht="23.25" customHeight="1">
      <c r="A42" s="1"/>
      <c r="B42" s="21"/>
      <c r="C42" s="57" t="s">
        <v>70</v>
      </c>
      <c r="D42" s="33">
        <f t="shared" si="5"/>
        <v>5000000</v>
      </c>
      <c r="E42" s="30"/>
      <c r="F42" s="33">
        <f t="shared" si="6"/>
        <v>5000000</v>
      </c>
      <c r="G42" s="33">
        <v>5000000</v>
      </c>
      <c r="H42" s="25">
        <f>173000+900000+31000+900000+32000+1100000+32000+500000</f>
        <v>3668000</v>
      </c>
      <c r="I42" s="49">
        <f t="shared" si="10"/>
        <v>73.36</v>
      </c>
      <c r="J42" s="73">
        <f t="shared" si="9"/>
        <v>89.07236522583779</v>
      </c>
      <c r="K42" s="55">
        <f t="shared" si="4"/>
        <v>450000</v>
      </c>
      <c r="L42" s="56"/>
      <c r="M42" s="45"/>
      <c r="N42" s="45">
        <v>400000</v>
      </c>
      <c r="O42" s="45">
        <v>2600000</v>
      </c>
      <c r="P42" s="45">
        <v>1000000</v>
      </c>
      <c r="Q42" s="45">
        <f>-332000</f>
        <v>-332000</v>
      </c>
      <c r="R42" s="45">
        <f>72100+377900</f>
        <v>450000</v>
      </c>
      <c r="S42" s="45">
        <f>882000</f>
        <v>882000</v>
      </c>
      <c r="T42" s="45"/>
      <c r="U42" s="45"/>
      <c r="V42" s="45"/>
      <c r="W42" s="45"/>
      <c r="X42" s="66">
        <f t="shared" si="7"/>
        <v>5000000</v>
      </c>
      <c r="Y42" s="75">
        <f t="shared" si="8"/>
        <v>0</v>
      </c>
    </row>
    <row r="43" spans="1:25" ht="23.25" customHeight="1">
      <c r="A43" s="1"/>
      <c r="B43" s="21"/>
      <c r="C43" s="57" t="s">
        <v>113</v>
      </c>
      <c r="D43" s="33">
        <f t="shared" si="5"/>
        <v>1500000</v>
      </c>
      <c r="E43" s="30"/>
      <c r="F43" s="33">
        <f t="shared" si="6"/>
        <v>1500000</v>
      </c>
      <c r="G43" s="33">
        <v>1500000</v>
      </c>
      <c r="H43" s="25">
        <f>57000</f>
        <v>57000</v>
      </c>
      <c r="I43" s="49">
        <f t="shared" si="10"/>
        <v>3.8</v>
      </c>
      <c r="J43" s="73">
        <f t="shared" si="9"/>
        <v>3.8</v>
      </c>
      <c r="K43" s="55">
        <f t="shared" si="4"/>
        <v>1443000</v>
      </c>
      <c r="L43" s="56"/>
      <c r="M43" s="45"/>
      <c r="N43" s="45"/>
      <c r="O43" s="45"/>
      <c r="P43" s="45"/>
      <c r="Q43" s="45">
        <f>1500000-500000</f>
        <v>1000000</v>
      </c>
      <c r="R43" s="45">
        <f>500000</f>
        <v>500000</v>
      </c>
      <c r="S43" s="45"/>
      <c r="T43" s="45"/>
      <c r="U43" s="45">
        <f>1500000-1500000</f>
        <v>0</v>
      </c>
      <c r="V43" s="45"/>
      <c r="W43" s="45"/>
      <c r="X43" s="66">
        <f t="shared" si="7"/>
        <v>1500000</v>
      </c>
      <c r="Y43" s="75">
        <f t="shared" si="8"/>
        <v>0</v>
      </c>
    </row>
    <row r="44" spans="1:25" ht="42" customHeight="1">
      <c r="A44" s="1"/>
      <c r="B44" s="21"/>
      <c r="C44" s="57" t="s">
        <v>71</v>
      </c>
      <c r="D44" s="33">
        <f t="shared" si="5"/>
        <v>1750000</v>
      </c>
      <c r="E44" s="30"/>
      <c r="F44" s="33">
        <f t="shared" si="6"/>
        <v>1750000</v>
      </c>
      <c r="G44" s="33">
        <v>1750000</v>
      </c>
      <c r="H44" s="25">
        <f>38000+1037000</f>
        <v>1075000</v>
      </c>
      <c r="I44" s="49">
        <f t="shared" si="10"/>
        <v>61.42857142857143</v>
      </c>
      <c r="J44" s="73">
        <f t="shared" si="9"/>
        <v>100</v>
      </c>
      <c r="K44" s="55">
        <f t="shared" si="4"/>
        <v>0</v>
      </c>
      <c r="L44" s="56"/>
      <c r="M44" s="45"/>
      <c r="N44" s="45"/>
      <c r="O44" s="45">
        <f>1200000-100000</f>
        <v>1100000</v>
      </c>
      <c r="P44" s="45">
        <f>550000+100000</f>
        <v>650000</v>
      </c>
      <c r="Q44" s="45">
        <f>-675000</f>
        <v>-675000</v>
      </c>
      <c r="R44" s="45"/>
      <c r="S44" s="45">
        <f>675000</f>
        <v>675000</v>
      </c>
      <c r="T44" s="45"/>
      <c r="U44" s="45"/>
      <c r="V44" s="45"/>
      <c r="W44" s="45"/>
      <c r="X44" s="66">
        <f t="shared" si="7"/>
        <v>1750000</v>
      </c>
      <c r="Y44" s="75">
        <f t="shared" si="8"/>
        <v>0</v>
      </c>
    </row>
    <row r="45" spans="1:25" ht="18.75">
      <c r="A45" s="1"/>
      <c r="B45" s="21"/>
      <c r="C45" s="57" t="s">
        <v>116</v>
      </c>
      <c r="D45" s="33">
        <f t="shared" si="5"/>
        <v>89760</v>
      </c>
      <c r="E45" s="30"/>
      <c r="F45" s="33">
        <f t="shared" si="6"/>
        <v>89760</v>
      </c>
      <c r="G45" s="33">
        <v>89760</v>
      </c>
      <c r="H45" s="25"/>
      <c r="I45" s="49"/>
      <c r="J45" s="73"/>
      <c r="K45" s="55">
        <f t="shared" si="4"/>
        <v>0</v>
      </c>
      <c r="L45" s="56"/>
      <c r="M45" s="45"/>
      <c r="N45" s="45"/>
      <c r="O45" s="45"/>
      <c r="P45" s="45"/>
      <c r="Q45" s="45"/>
      <c r="R45" s="56"/>
      <c r="S45" s="56"/>
      <c r="T45" s="56">
        <v>89760</v>
      </c>
      <c r="U45" s="56"/>
      <c r="V45" s="56"/>
      <c r="W45" s="56"/>
      <c r="X45" s="66">
        <f t="shared" si="7"/>
        <v>89760</v>
      </c>
      <c r="Y45" s="75">
        <f t="shared" si="8"/>
        <v>0</v>
      </c>
    </row>
    <row r="46" spans="1:25" ht="24" customHeight="1">
      <c r="A46" s="1"/>
      <c r="B46" s="21"/>
      <c r="C46" s="44" t="s">
        <v>40</v>
      </c>
      <c r="D46" s="25">
        <f>F46</f>
        <v>6700000</v>
      </c>
      <c r="E46" s="27"/>
      <c r="F46" s="25">
        <f>G46</f>
        <v>6700000</v>
      </c>
      <c r="G46" s="45">
        <v>6700000</v>
      </c>
      <c r="H46" s="25">
        <f>3263175+1196936+1083633.68+1062941-1383336+29005.67</f>
        <v>5252355.35</v>
      </c>
      <c r="I46" s="49">
        <f>H46/D46*100</f>
        <v>78.39336343283581</v>
      </c>
      <c r="J46" s="73">
        <f t="shared" si="9"/>
        <v>78.39336343283581</v>
      </c>
      <c r="K46" s="55">
        <f t="shared" si="4"/>
        <v>1447644.6500000004</v>
      </c>
      <c r="L46" s="63"/>
      <c r="M46" s="45"/>
      <c r="N46" s="45">
        <v>4000000</v>
      </c>
      <c r="O46" s="45">
        <v>2700000</v>
      </c>
      <c r="P46" s="45"/>
      <c r="Q46" s="45"/>
      <c r="R46" s="63"/>
      <c r="S46" s="63"/>
      <c r="T46" s="63"/>
      <c r="U46" s="63"/>
      <c r="V46" s="63"/>
      <c r="W46" s="63"/>
      <c r="X46" s="66">
        <f t="shared" si="7"/>
        <v>6700000</v>
      </c>
      <c r="Y46" s="75">
        <f t="shared" si="8"/>
        <v>0</v>
      </c>
    </row>
    <row r="47" spans="1:25" ht="22.5" customHeight="1">
      <c r="A47" s="1"/>
      <c r="B47" s="21"/>
      <c r="C47" s="44" t="s">
        <v>41</v>
      </c>
      <c r="D47" s="25">
        <f>F47</f>
        <v>5000000</v>
      </c>
      <c r="E47" s="27"/>
      <c r="F47" s="25">
        <f>G47</f>
        <v>5000000</v>
      </c>
      <c r="G47" s="45">
        <f>10000000-5000000</f>
        <v>5000000</v>
      </c>
      <c r="H47" s="25">
        <f>43726+73807</f>
        <v>117533</v>
      </c>
      <c r="I47" s="49">
        <f>H47/D47*100</f>
        <v>2.35066</v>
      </c>
      <c r="J47" s="73">
        <f t="shared" si="9"/>
        <v>100</v>
      </c>
      <c r="K47" s="55">
        <f t="shared" si="4"/>
        <v>0</v>
      </c>
      <c r="L47" s="63"/>
      <c r="M47" s="45"/>
      <c r="N47" s="45">
        <v>500000</v>
      </c>
      <c r="O47" s="45">
        <f>4500000-4600000</f>
        <v>-100000</v>
      </c>
      <c r="P47" s="45">
        <v>2365666</v>
      </c>
      <c r="Q47" s="45">
        <v>-2648000</v>
      </c>
      <c r="R47" s="63">
        <f>879000-879133</f>
        <v>-133</v>
      </c>
      <c r="S47" s="63">
        <f>1869000</f>
        <v>1869000</v>
      </c>
      <c r="T47" s="63">
        <f>7621.25</f>
        <v>7621.25</v>
      </c>
      <c r="U47" s="63">
        <f>2134334+701511.75</f>
        <v>2835845.75</v>
      </c>
      <c r="V47" s="63">
        <f>170000</f>
        <v>170000</v>
      </c>
      <c r="W47" s="63"/>
      <c r="X47" s="66">
        <f t="shared" si="7"/>
        <v>5000000</v>
      </c>
      <c r="Y47" s="75">
        <f t="shared" si="8"/>
        <v>0</v>
      </c>
    </row>
    <row r="48" spans="1:25" ht="22.5" customHeight="1">
      <c r="A48" s="1"/>
      <c r="B48" s="58"/>
      <c r="C48" s="57" t="s">
        <v>72</v>
      </c>
      <c r="D48" s="25">
        <f>F48</f>
        <v>7000000</v>
      </c>
      <c r="E48" s="27"/>
      <c r="F48" s="25">
        <f>G48</f>
        <v>7000000</v>
      </c>
      <c r="G48" s="45">
        <v>7000000</v>
      </c>
      <c r="H48" s="25">
        <f>73140</f>
        <v>73140</v>
      </c>
      <c r="I48" s="49">
        <f>H48/D48*100</f>
        <v>1.044857142857143</v>
      </c>
      <c r="J48" s="73">
        <f t="shared" si="9"/>
        <v>28.443649373881957</v>
      </c>
      <c r="K48" s="55">
        <f t="shared" si="4"/>
        <v>183999.99999999977</v>
      </c>
      <c r="L48" s="63"/>
      <c r="M48" s="63"/>
      <c r="N48" s="63"/>
      <c r="O48" s="63">
        <f>755868.99-512000</f>
        <v>243868.99</v>
      </c>
      <c r="P48" s="63">
        <f>1600000+2244131.01-2087000-1100000</f>
        <v>657131.0099999998</v>
      </c>
      <c r="Q48" s="63">
        <f>-827666</f>
        <v>-827666</v>
      </c>
      <c r="R48" s="63">
        <f>400000+512000+201333+375000-1304527</f>
        <v>183806</v>
      </c>
      <c r="S48" s="63">
        <f>3021500+238660</f>
        <v>3260160</v>
      </c>
      <c r="T48" s="63">
        <f>1113334+1065867</f>
        <v>2179201</v>
      </c>
      <c r="U48" s="63">
        <f>91754.25</f>
        <v>91754.25</v>
      </c>
      <c r="V48" s="63">
        <f>1211744.75</f>
        <v>1211744.75</v>
      </c>
      <c r="W48" s="63"/>
      <c r="X48" s="66">
        <f t="shared" si="7"/>
        <v>7000000</v>
      </c>
      <c r="Y48" s="75">
        <f t="shared" si="8"/>
        <v>0</v>
      </c>
    </row>
    <row r="49" spans="1:25" s="16" customFormat="1" ht="24" customHeight="1">
      <c r="A49" s="80" t="s">
        <v>30</v>
      </c>
      <c r="B49" s="81"/>
      <c r="C49" s="81"/>
      <c r="D49" s="81"/>
      <c r="E49" s="81"/>
      <c r="F49" s="81"/>
      <c r="G49" s="81"/>
      <c r="H49" s="81"/>
      <c r="I49" s="81"/>
      <c r="J49" s="73"/>
      <c r="K49" s="55"/>
      <c r="X49" s="71"/>
      <c r="Y49" s="75"/>
    </row>
    <row r="50" spans="1:25" s="16" customFormat="1" ht="36" customHeight="1">
      <c r="A50" s="17">
        <v>2</v>
      </c>
      <c r="B50" s="18"/>
      <c r="C50" s="19" t="s">
        <v>17</v>
      </c>
      <c r="D50" s="20">
        <f>D51</f>
        <v>75086311</v>
      </c>
      <c r="E50" s="20"/>
      <c r="F50" s="20">
        <f>F51</f>
        <v>75086311</v>
      </c>
      <c r="G50" s="20">
        <f>G51</f>
        <v>75086311</v>
      </c>
      <c r="H50" s="20">
        <f>H51</f>
        <v>25987812.380000003</v>
      </c>
      <c r="I50" s="70">
        <f>H50/D50*100</f>
        <v>34.61058618261323</v>
      </c>
      <c r="J50" s="73"/>
      <c r="K50" s="55"/>
      <c r="X50" s="71"/>
      <c r="Y50" s="75"/>
    </row>
    <row r="51" spans="1:25" s="16" customFormat="1" ht="19.5" customHeight="1">
      <c r="A51" s="1"/>
      <c r="B51" s="29" t="s">
        <v>31</v>
      </c>
      <c r="C51" s="29" t="s">
        <v>31</v>
      </c>
      <c r="D51" s="30">
        <f>SUM(D52:D101)</f>
        <v>75086311</v>
      </c>
      <c r="E51" s="30"/>
      <c r="F51" s="30">
        <f>SUM(F52:F101)</f>
        <v>75086311</v>
      </c>
      <c r="G51" s="30">
        <f>SUM(G52:G101)</f>
        <v>75086311</v>
      </c>
      <c r="H51" s="30">
        <f>SUM(H52:H101)</f>
        <v>25987812.380000003</v>
      </c>
      <c r="I51" s="51">
        <f>H51/D51*100</f>
        <v>34.61058618261323</v>
      </c>
      <c r="J51" s="73">
        <f t="shared" si="9"/>
        <v>67.96380345447209</v>
      </c>
      <c r="K51" s="55">
        <f>L51+M51+N51+O51+P51+Q51+R51-H51</f>
        <v>12249912.79</v>
      </c>
      <c r="L51" s="65">
        <f>SUM(L52:L101)</f>
        <v>0</v>
      </c>
      <c r="M51" s="65">
        <f aca="true" t="shared" si="11" ref="M51:X51">SUM(M52:M101)</f>
        <v>2416000</v>
      </c>
      <c r="N51" s="65">
        <f>SUM(N52:N101)</f>
        <v>3584000</v>
      </c>
      <c r="O51" s="65">
        <f t="shared" si="11"/>
        <v>640500</v>
      </c>
      <c r="P51" s="65">
        <f t="shared" si="11"/>
        <v>6993995.17</v>
      </c>
      <c r="Q51" s="65">
        <f t="shared" si="11"/>
        <v>14129230</v>
      </c>
      <c r="R51" s="65">
        <f t="shared" si="11"/>
        <v>10474000</v>
      </c>
      <c r="S51" s="65">
        <f t="shared" si="11"/>
        <v>9585470.26</v>
      </c>
      <c r="T51" s="65">
        <f t="shared" si="11"/>
        <v>2874428.61</v>
      </c>
      <c r="U51" s="65">
        <f t="shared" si="11"/>
        <v>9176786.91</v>
      </c>
      <c r="V51" s="65">
        <f t="shared" si="11"/>
        <v>11647784.219999999</v>
      </c>
      <c r="W51" s="65">
        <f>SUM(W52:W101)</f>
        <v>3564115.83</v>
      </c>
      <c r="X51" s="65">
        <f t="shared" si="11"/>
        <v>75086311</v>
      </c>
      <c r="Y51" s="75">
        <f t="shared" si="8"/>
        <v>0</v>
      </c>
    </row>
    <row r="52" spans="1:25" s="16" customFormat="1" ht="40.5" customHeight="1">
      <c r="A52" s="1"/>
      <c r="B52" s="29"/>
      <c r="C52" s="31" t="s">
        <v>32</v>
      </c>
      <c r="D52" s="32">
        <f aca="true" t="shared" si="12" ref="D52:D90">F52</f>
        <v>768000</v>
      </c>
      <c r="E52" s="30"/>
      <c r="F52" s="25">
        <f aca="true" t="shared" si="13" ref="F52:F101">G52</f>
        <v>768000</v>
      </c>
      <c r="G52" s="33">
        <f>192000+576000</f>
        <v>768000</v>
      </c>
      <c r="H52" s="25">
        <f>81260+1427.14+45242+45091.14+234240.07+85847.68</f>
        <v>493108.02999999997</v>
      </c>
      <c r="I52" s="49">
        <f>H52/D52*100</f>
        <v>64.20677473958332</v>
      </c>
      <c r="J52" s="73">
        <f t="shared" si="9"/>
        <v>99.96911975592604</v>
      </c>
      <c r="K52" s="55">
        <f aca="true" t="shared" si="14" ref="K52:K104">L52+M52+N52+O52+P52+Q52+R52-H52</f>
        <v>152.32000000000698</v>
      </c>
      <c r="L52" s="63"/>
      <c r="M52" s="63">
        <v>92000</v>
      </c>
      <c r="N52" s="63">
        <v>100000</v>
      </c>
      <c r="O52" s="63">
        <v>300000</v>
      </c>
      <c r="P52" s="63">
        <f>276000-360739.65</f>
        <v>-84739.65000000002</v>
      </c>
      <c r="Q52" s="63"/>
      <c r="R52" s="63">
        <f>86000</f>
        <v>86000</v>
      </c>
      <c r="S52" s="63"/>
      <c r="T52" s="63"/>
      <c r="U52" s="63"/>
      <c r="V52" s="63"/>
      <c r="W52" s="63">
        <f>360739.65-86000</f>
        <v>274739.65</v>
      </c>
      <c r="X52" s="63">
        <f>SUM(L52:W52)</f>
        <v>768000</v>
      </c>
      <c r="Y52" s="75">
        <f t="shared" si="8"/>
        <v>0</v>
      </c>
    </row>
    <row r="53" spans="1:25" s="16" customFormat="1" ht="23.25" customHeight="1">
      <c r="A53" s="1"/>
      <c r="B53" s="29"/>
      <c r="C53" s="60" t="s">
        <v>73</v>
      </c>
      <c r="D53" s="32">
        <f t="shared" si="12"/>
        <v>64000</v>
      </c>
      <c r="E53" s="30"/>
      <c r="F53" s="25">
        <f t="shared" si="13"/>
        <v>64000</v>
      </c>
      <c r="G53" s="32">
        <f>164000-100000</f>
        <v>64000</v>
      </c>
      <c r="H53" s="25"/>
      <c r="I53" s="49"/>
      <c r="J53" s="73">
        <f t="shared" si="9"/>
        <v>0</v>
      </c>
      <c r="K53" s="55">
        <f t="shared" si="14"/>
        <v>64000</v>
      </c>
      <c r="L53" s="63"/>
      <c r="M53" s="63"/>
      <c r="N53" s="63"/>
      <c r="O53" s="63">
        <v>50000</v>
      </c>
      <c r="P53" s="63">
        <f>50000-100000</f>
        <v>-50000</v>
      </c>
      <c r="Q53" s="63">
        <v>64000</v>
      </c>
      <c r="R53" s="63"/>
      <c r="S53" s="63"/>
      <c r="T53" s="63"/>
      <c r="U53" s="63"/>
      <c r="V53" s="63"/>
      <c r="W53" s="63">
        <f>100000-100000</f>
        <v>0</v>
      </c>
      <c r="X53" s="63">
        <f aca="true" t="shared" si="15" ref="X53:X101">SUM(L53:W53)</f>
        <v>64000</v>
      </c>
      <c r="Y53" s="75">
        <f t="shared" si="8"/>
        <v>0</v>
      </c>
    </row>
    <row r="54" spans="1:25" s="16" customFormat="1" ht="26.25" customHeight="1">
      <c r="A54" s="1"/>
      <c r="B54" s="29"/>
      <c r="C54" s="60" t="s">
        <v>74</v>
      </c>
      <c r="D54" s="32">
        <f t="shared" si="12"/>
        <v>109800</v>
      </c>
      <c r="E54" s="30"/>
      <c r="F54" s="25">
        <f t="shared" si="13"/>
        <v>109800</v>
      </c>
      <c r="G54" s="32">
        <v>109800</v>
      </c>
      <c r="H54" s="25"/>
      <c r="I54" s="49"/>
      <c r="J54" s="73"/>
      <c r="K54" s="55">
        <f t="shared" si="14"/>
        <v>0</v>
      </c>
      <c r="L54" s="63"/>
      <c r="M54" s="63"/>
      <c r="N54" s="63"/>
      <c r="O54" s="63"/>
      <c r="P54" s="63">
        <f>109800-109800</f>
        <v>0</v>
      </c>
      <c r="Q54" s="63"/>
      <c r="R54" s="63"/>
      <c r="S54" s="63"/>
      <c r="T54" s="63"/>
      <c r="U54" s="63"/>
      <c r="V54" s="63"/>
      <c r="W54" s="63">
        <f>109800</f>
        <v>109800</v>
      </c>
      <c r="X54" s="63">
        <f t="shared" si="15"/>
        <v>109800</v>
      </c>
      <c r="Y54" s="75">
        <f t="shared" si="8"/>
        <v>0</v>
      </c>
    </row>
    <row r="55" spans="1:25" s="16" customFormat="1" ht="40.5" customHeight="1">
      <c r="A55" s="1"/>
      <c r="B55" s="29"/>
      <c r="C55" s="60" t="s">
        <v>75</v>
      </c>
      <c r="D55" s="32">
        <f t="shared" si="12"/>
        <v>25280</v>
      </c>
      <c r="E55" s="30"/>
      <c r="F55" s="25">
        <f t="shared" si="13"/>
        <v>25280</v>
      </c>
      <c r="G55" s="32">
        <v>25280</v>
      </c>
      <c r="H55" s="25"/>
      <c r="I55" s="49"/>
      <c r="J55" s="73">
        <f t="shared" si="9"/>
        <v>0</v>
      </c>
      <c r="K55" s="55">
        <f t="shared" si="14"/>
        <v>25280</v>
      </c>
      <c r="L55" s="63"/>
      <c r="M55" s="63"/>
      <c r="N55" s="63"/>
      <c r="O55" s="63"/>
      <c r="P55" s="63"/>
      <c r="Q55" s="63">
        <v>25280</v>
      </c>
      <c r="R55" s="63"/>
      <c r="S55" s="63"/>
      <c r="T55" s="63"/>
      <c r="U55" s="63"/>
      <c r="V55" s="63"/>
      <c r="W55" s="63"/>
      <c r="X55" s="63">
        <f t="shared" si="15"/>
        <v>25280</v>
      </c>
      <c r="Y55" s="75">
        <f t="shared" si="8"/>
        <v>0</v>
      </c>
    </row>
    <row r="56" spans="1:25" s="16" customFormat="1" ht="24.75" customHeight="1">
      <c r="A56" s="1"/>
      <c r="B56" s="29"/>
      <c r="C56" s="60" t="s">
        <v>76</v>
      </c>
      <c r="D56" s="32">
        <f t="shared" si="12"/>
        <v>600000</v>
      </c>
      <c r="E56" s="30"/>
      <c r="F56" s="25">
        <f t="shared" si="13"/>
        <v>600000</v>
      </c>
      <c r="G56" s="32">
        <v>600000</v>
      </c>
      <c r="H56" s="25"/>
      <c r="I56" s="49"/>
      <c r="J56" s="73"/>
      <c r="K56" s="55">
        <f t="shared" si="14"/>
        <v>0</v>
      </c>
      <c r="L56" s="63"/>
      <c r="M56" s="63"/>
      <c r="N56" s="63"/>
      <c r="O56" s="63"/>
      <c r="P56" s="64">
        <f>30000-30000</f>
        <v>0</v>
      </c>
      <c r="Q56" s="64"/>
      <c r="R56" s="64"/>
      <c r="S56" s="64">
        <v>570000</v>
      </c>
      <c r="T56" s="64"/>
      <c r="U56" s="64"/>
      <c r="V56" s="64"/>
      <c r="W56" s="64">
        <f>30000</f>
        <v>30000</v>
      </c>
      <c r="X56" s="63">
        <f t="shared" si="15"/>
        <v>600000</v>
      </c>
      <c r="Y56" s="75">
        <f t="shared" si="8"/>
        <v>0</v>
      </c>
    </row>
    <row r="57" spans="1:25" s="16" customFormat="1" ht="24.75" customHeight="1">
      <c r="A57" s="1"/>
      <c r="B57" s="29"/>
      <c r="C57" s="60" t="s">
        <v>77</v>
      </c>
      <c r="D57" s="32">
        <f t="shared" si="12"/>
        <v>850000</v>
      </c>
      <c r="E57" s="30"/>
      <c r="F57" s="25">
        <f t="shared" si="13"/>
        <v>850000</v>
      </c>
      <c r="G57" s="32">
        <v>850000</v>
      </c>
      <c r="H57" s="25">
        <f>386615.55</f>
        <v>386615.55</v>
      </c>
      <c r="I57" s="49">
        <f>H57/D57*100</f>
        <v>45.484182352941176</v>
      </c>
      <c r="J57" s="73"/>
      <c r="K57" s="55">
        <f t="shared" si="14"/>
        <v>384.45000000001164</v>
      </c>
      <c r="L57" s="63"/>
      <c r="M57" s="63"/>
      <c r="N57" s="63"/>
      <c r="O57" s="63"/>
      <c r="P57" s="64">
        <f>30000-30000</f>
        <v>0</v>
      </c>
      <c r="Q57" s="64"/>
      <c r="R57" s="64">
        <f>387000</f>
        <v>387000</v>
      </c>
      <c r="S57" s="64">
        <v>290103.26</v>
      </c>
      <c r="T57" s="64">
        <v>15002.85</v>
      </c>
      <c r="U57" s="64">
        <f>514893.89-387000</f>
        <v>127893.89000000001</v>
      </c>
      <c r="V57" s="64"/>
      <c r="W57" s="64">
        <f>30000</f>
        <v>30000</v>
      </c>
      <c r="X57" s="63">
        <f t="shared" si="15"/>
        <v>850000</v>
      </c>
      <c r="Y57" s="75">
        <f t="shared" si="8"/>
        <v>0</v>
      </c>
    </row>
    <row r="58" spans="1:25" s="16" customFormat="1" ht="22.5" customHeight="1">
      <c r="A58" s="1"/>
      <c r="B58" s="29"/>
      <c r="C58" s="60" t="s">
        <v>78</v>
      </c>
      <c r="D58" s="32">
        <f t="shared" si="12"/>
        <v>750000</v>
      </c>
      <c r="E58" s="30"/>
      <c r="F58" s="25">
        <f t="shared" si="13"/>
        <v>750000</v>
      </c>
      <c r="G58" s="32">
        <v>750000</v>
      </c>
      <c r="H58" s="25"/>
      <c r="I58" s="49"/>
      <c r="J58" s="73"/>
      <c r="K58" s="55">
        <f t="shared" si="14"/>
        <v>0</v>
      </c>
      <c r="L58" s="63"/>
      <c r="M58" s="63"/>
      <c r="N58" s="63"/>
      <c r="O58" s="63"/>
      <c r="P58" s="64">
        <f>30000-30000</f>
        <v>0</v>
      </c>
      <c r="Q58" s="64"/>
      <c r="R58" s="64"/>
      <c r="S58" s="64"/>
      <c r="T58" s="64"/>
      <c r="U58" s="64">
        <v>494552.02</v>
      </c>
      <c r="V58" s="64">
        <v>225447.98</v>
      </c>
      <c r="W58" s="64">
        <f>30000</f>
        <v>30000</v>
      </c>
      <c r="X58" s="63">
        <f t="shared" si="15"/>
        <v>750000</v>
      </c>
      <c r="Y58" s="75">
        <f t="shared" si="8"/>
        <v>0</v>
      </c>
    </row>
    <row r="59" spans="1:25" s="16" customFormat="1" ht="40.5" customHeight="1">
      <c r="A59" s="1"/>
      <c r="B59" s="29"/>
      <c r="C59" s="60" t="s">
        <v>115</v>
      </c>
      <c r="D59" s="32">
        <f t="shared" si="12"/>
        <v>1180000</v>
      </c>
      <c r="E59" s="30"/>
      <c r="F59" s="25">
        <f t="shared" si="13"/>
        <v>1180000</v>
      </c>
      <c r="G59" s="32">
        <f>850000+330000</f>
        <v>1180000</v>
      </c>
      <c r="H59" s="25">
        <f>553277.5+572421.29</f>
        <v>1125698.79</v>
      </c>
      <c r="I59" s="49">
        <f>H59/D59*100</f>
        <v>95.39820254237289</v>
      </c>
      <c r="J59" s="73">
        <f t="shared" si="9"/>
        <v>95.39820254237289</v>
      </c>
      <c r="K59" s="55">
        <f t="shared" si="14"/>
        <v>54301.20999999996</v>
      </c>
      <c r="L59" s="63"/>
      <c r="M59" s="63"/>
      <c r="N59" s="63"/>
      <c r="O59" s="63"/>
      <c r="P59" s="64">
        <f>30000-30000+30000</f>
        <v>30000</v>
      </c>
      <c r="Q59" s="64">
        <v>700000</v>
      </c>
      <c r="R59" s="64">
        <f>450000</f>
        <v>450000</v>
      </c>
      <c r="S59" s="64">
        <f>300000-200000-100000</f>
        <v>0</v>
      </c>
      <c r="T59" s="64">
        <f>300000-300000</f>
        <v>0</v>
      </c>
      <c r="U59" s="64">
        <f>520000-500000-20000</f>
        <v>0</v>
      </c>
      <c r="V59" s="64"/>
      <c r="W59" s="64">
        <f>30000-30000</f>
        <v>0</v>
      </c>
      <c r="X59" s="63">
        <f t="shared" si="15"/>
        <v>1180000</v>
      </c>
      <c r="Y59" s="75">
        <f t="shared" si="8"/>
        <v>0</v>
      </c>
    </row>
    <row r="60" spans="1:25" s="16" customFormat="1" ht="40.5" customHeight="1" hidden="1">
      <c r="A60" s="1"/>
      <c r="B60" s="29"/>
      <c r="C60" s="60" t="s">
        <v>79</v>
      </c>
      <c r="D60" s="32">
        <f t="shared" si="12"/>
        <v>0</v>
      </c>
      <c r="E60" s="30"/>
      <c r="F60" s="25">
        <f t="shared" si="13"/>
        <v>0</v>
      </c>
      <c r="G60" s="32">
        <f>550000-550000</f>
        <v>0</v>
      </c>
      <c r="H60" s="25"/>
      <c r="I60" s="49" t="e">
        <f>H60/D60*100</f>
        <v>#DIV/0!</v>
      </c>
      <c r="J60" s="73" t="e">
        <f t="shared" si="9"/>
        <v>#DIV/0!</v>
      </c>
      <c r="K60" s="55">
        <f t="shared" si="14"/>
        <v>0</v>
      </c>
      <c r="L60" s="63"/>
      <c r="M60" s="63"/>
      <c r="N60" s="63"/>
      <c r="O60" s="63"/>
      <c r="P60" s="64">
        <f>30000-30000</f>
        <v>0</v>
      </c>
      <c r="Q60" s="64"/>
      <c r="R60" s="64"/>
      <c r="S60" s="64"/>
      <c r="T60" s="64">
        <f>520000-520000</f>
        <v>0</v>
      </c>
      <c r="U60" s="64"/>
      <c r="V60" s="64"/>
      <c r="W60" s="64">
        <f>30000-30000</f>
        <v>0</v>
      </c>
      <c r="X60" s="63">
        <f t="shared" si="15"/>
        <v>0</v>
      </c>
      <c r="Y60" s="75">
        <f t="shared" si="8"/>
        <v>0</v>
      </c>
    </row>
    <row r="61" spans="1:25" s="16" customFormat="1" ht="40.5" customHeight="1">
      <c r="A61" s="1"/>
      <c r="B61" s="29"/>
      <c r="C61" s="60" t="s">
        <v>80</v>
      </c>
      <c r="D61" s="32">
        <f t="shared" si="12"/>
        <v>120000</v>
      </c>
      <c r="E61" s="30"/>
      <c r="F61" s="25">
        <f t="shared" si="13"/>
        <v>120000</v>
      </c>
      <c r="G61" s="32">
        <v>120000</v>
      </c>
      <c r="H61" s="25"/>
      <c r="I61" s="49"/>
      <c r="J61" s="73"/>
      <c r="K61" s="55">
        <f t="shared" si="14"/>
        <v>0</v>
      </c>
      <c r="L61" s="63"/>
      <c r="M61" s="63"/>
      <c r="N61" s="63"/>
      <c r="O61" s="63">
        <v>50000</v>
      </c>
      <c r="P61" s="63">
        <f>70000-120000</f>
        <v>-50000</v>
      </c>
      <c r="Q61" s="63"/>
      <c r="R61" s="63"/>
      <c r="S61" s="63"/>
      <c r="T61" s="63"/>
      <c r="U61" s="63"/>
      <c r="V61" s="63"/>
      <c r="W61" s="63">
        <f>120000</f>
        <v>120000</v>
      </c>
      <c r="X61" s="63">
        <f t="shared" si="15"/>
        <v>120000</v>
      </c>
      <c r="Y61" s="75">
        <f t="shared" si="8"/>
        <v>0</v>
      </c>
    </row>
    <row r="62" spans="1:25" s="16" customFormat="1" ht="24.75" customHeight="1">
      <c r="A62" s="1"/>
      <c r="B62" s="29"/>
      <c r="C62" s="60" t="s">
        <v>81</v>
      </c>
      <c r="D62" s="32">
        <f t="shared" si="12"/>
        <v>128800</v>
      </c>
      <c r="E62" s="30"/>
      <c r="F62" s="25">
        <f t="shared" si="13"/>
        <v>128800</v>
      </c>
      <c r="G62" s="32">
        <v>128800</v>
      </c>
      <c r="H62" s="25"/>
      <c r="I62" s="49"/>
      <c r="J62" s="73"/>
      <c r="K62" s="55">
        <f t="shared" si="14"/>
        <v>0</v>
      </c>
      <c r="L62" s="63"/>
      <c r="M62" s="63"/>
      <c r="N62" s="63"/>
      <c r="O62" s="63"/>
      <c r="P62" s="63"/>
      <c r="Q62" s="63"/>
      <c r="R62" s="63"/>
      <c r="S62" s="63">
        <v>64400</v>
      </c>
      <c r="T62" s="63">
        <v>64400</v>
      </c>
      <c r="U62" s="63"/>
      <c r="V62" s="63"/>
      <c r="W62" s="63"/>
      <c r="X62" s="63">
        <f t="shared" si="15"/>
        <v>128800</v>
      </c>
      <c r="Y62" s="75">
        <f t="shared" si="8"/>
        <v>0</v>
      </c>
    </row>
    <row r="63" spans="1:25" s="16" customFormat="1" ht="23.25" customHeight="1">
      <c r="A63" s="1"/>
      <c r="B63" s="29"/>
      <c r="C63" s="60" t="s">
        <v>82</v>
      </c>
      <c r="D63" s="32">
        <f t="shared" si="12"/>
        <v>5000</v>
      </c>
      <c r="E63" s="30"/>
      <c r="F63" s="25">
        <f t="shared" si="13"/>
        <v>5000</v>
      </c>
      <c r="G63" s="32">
        <v>5000</v>
      </c>
      <c r="H63" s="25"/>
      <c r="I63" s="49"/>
      <c r="J63" s="73">
        <f t="shared" si="9"/>
        <v>0</v>
      </c>
      <c r="K63" s="55">
        <f t="shared" si="14"/>
        <v>5000</v>
      </c>
      <c r="L63" s="63"/>
      <c r="M63" s="63"/>
      <c r="N63" s="63"/>
      <c r="O63" s="63">
        <v>5000</v>
      </c>
      <c r="P63" s="63"/>
      <c r="Q63" s="63"/>
      <c r="R63" s="63"/>
      <c r="S63" s="63"/>
      <c r="T63" s="63"/>
      <c r="U63" s="63"/>
      <c r="V63" s="63"/>
      <c r="W63" s="63"/>
      <c r="X63" s="63">
        <f t="shared" si="15"/>
        <v>5000</v>
      </c>
      <c r="Y63" s="75">
        <f t="shared" si="8"/>
        <v>0</v>
      </c>
    </row>
    <row r="64" spans="1:25" s="16" customFormat="1" ht="23.25" customHeight="1">
      <c r="A64" s="1"/>
      <c r="B64" s="29"/>
      <c r="C64" s="60" t="s">
        <v>118</v>
      </c>
      <c r="D64" s="32">
        <f>F64</f>
        <v>500000</v>
      </c>
      <c r="E64" s="30"/>
      <c r="F64" s="25">
        <f>G64</f>
        <v>500000</v>
      </c>
      <c r="G64" s="32">
        <v>500000</v>
      </c>
      <c r="H64" s="25">
        <f>150000</f>
        <v>150000</v>
      </c>
      <c r="I64" s="49">
        <f>H64/D64*100</f>
        <v>30</v>
      </c>
      <c r="J64" s="73">
        <f t="shared" si="9"/>
        <v>30</v>
      </c>
      <c r="K64" s="55">
        <f t="shared" si="14"/>
        <v>350000</v>
      </c>
      <c r="L64" s="63"/>
      <c r="M64" s="63"/>
      <c r="N64" s="63"/>
      <c r="O64" s="63"/>
      <c r="P64" s="63"/>
      <c r="Q64" s="63">
        <v>500000</v>
      </c>
      <c r="R64" s="63"/>
      <c r="S64" s="63"/>
      <c r="T64" s="63"/>
      <c r="U64" s="63"/>
      <c r="V64" s="63"/>
      <c r="W64" s="63"/>
      <c r="X64" s="63">
        <f t="shared" si="15"/>
        <v>500000</v>
      </c>
      <c r="Y64" s="75">
        <f t="shared" si="8"/>
        <v>0</v>
      </c>
    </row>
    <row r="65" spans="1:25" s="16" customFormat="1" ht="23.25" customHeight="1">
      <c r="A65" s="1"/>
      <c r="B65" s="29"/>
      <c r="C65" s="60" t="s">
        <v>119</v>
      </c>
      <c r="D65" s="32">
        <f>F65</f>
        <v>200000</v>
      </c>
      <c r="E65" s="30"/>
      <c r="F65" s="25">
        <f>G65</f>
        <v>200000</v>
      </c>
      <c r="G65" s="32">
        <v>200000</v>
      </c>
      <c r="H65" s="25"/>
      <c r="I65" s="49"/>
      <c r="J65" s="73">
        <f t="shared" si="9"/>
        <v>0</v>
      </c>
      <c r="K65" s="55">
        <f t="shared" si="14"/>
        <v>200000</v>
      </c>
      <c r="L65" s="63"/>
      <c r="M65" s="63"/>
      <c r="N65" s="63"/>
      <c r="O65" s="63"/>
      <c r="P65" s="63"/>
      <c r="Q65" s="63">
        <v>200000</v>
      </c>
      <c r="R65" s="63"/>
      <c r="S65" s="63"/>
      <c r="T65" s="63"/>
      <c r="U65" s="63"/>
      <c r="V65" s="63"/>
      <c r="W65" s="63"/>
      <c r="X65" s="63">
        <f t="shared" si="15"/>
        <v>200000</v>
      </c>
      <c r="Y65" s="75">
        <f t="shared" si="8"/>
        <v>0</v>
      </c>
    </row>
    <row r="66" spans="1:25" s="16" customFormat="1" ht="24.75" customHeight="1">
      <c r="A66" s="1"/>
      <c r="B66" s="29"/>
      <c r="C66" s="59" t="s">
        <v>83</v>
      </c>
      <c r="D66" s="32">
        <f t="shared" si="12"/>
        <v>120000</v>
      </c>
      <c r="E66" s="30"/>
      <c r="F66" s="25">
        <f t="shared" si="13"/>
        <v>120000</v>
      </c>
      <c r="G66" s="33">
        <v>120000</v>
      </c>
      <c r="H66" s="25"/>
      <c r="I66" s="49"/>
      <c r="J66" s="73"/>
      <c r="K66" s="55">
        <f t="shared" si="14"/>
        <v>0</v>
      </c>
      <c r="L66" s="63"/>
      <c r="M66" s="63"/>
      <c r="N66" s="63"/>
      <c r="O66" s="63"/>
      <c r="P66" s="63">
        <f>120000-120000</f>
        <v>0</v>
      </c>
      <c r="Q66" s="63"/>
      <c r="R66" s="63"/>
      <c r="S66" s="63"/>
      <c r="T66" s="63"/>
      <c r="U66" s="63"/>
      <c r="V66" s="63"/>
      <c r="W66" s="63">
        <f>120000</f>
        <v>120000</v>
      </c>
      <c r="X66" s="63">
        <f t="shared" si="15"/>
        <v>120000</v>
      </c>
      <c r="Y66" s="75">
        <f t="shared" si="8"/>
        <v>0</v>
      </c>
    </row>
    <row r="67" spans="1:25" s="16" customFormat="1" ht="39.75" customHeight="1">
      <c r="A67" s="1"/>
      <c r="B67" s="29"/>
      <c r="C67" s="60" t="s">
        <v>84</v>
      </c>
      <c r="D67" s="32">
        <f t="shared" si="12"/>
        <v>500</v>
      </c>
      <c r="E67" s="30"/>
      <c r="F67" s="25">
        <f t="shared" si="13"/>
        <v>500</v>
      </c>
      <c r="G67" s="33">
        <v>500</v>
      </c>
      <c r="H67" s="25"/>
      <c r="I67" s="49"/>
      <c r="J67" s="73">
        <f t="shared" si="9"/>
        <v>0</v>
      </c>
      <c r="K67" s="55">
        <f t="shared" si="14"/>
        <v>500</v>
      </c>
      <c r="L67" s="63"/>
      <c r="M67" s="63"/>
      <c r="N67" s="63"/>
      <c r="O67" s="63">
        <v>500</v>
      </c>
      <c r="P67" s="63"/>
      <c r="Q67" s="63"/>
      <c r="R67" s="63"/>
      <c r="S67" s="63"/>
      <c r="T67" s="63"/>
      <c r="U67" s="63"/>
      <c r="V67" s="63"/>
      <c r="W67" s="63"/>
      <c r="X67" s="63">
        <f t="shared" si="15"/>
        <v>500</v>
      </c>
      <c r="Y67" s="75">
        <f t="shared" si="8"/>
        <v>0</v>
      </c>
    </row>
    <row r="68" spans="1:25" s="16" customFormat="1" ht="24.75" customHeight="1">
      <c r="A68" s="1"/>
      <c r="B68" s="29"/>
      <c r="C68" s="59" t="s">
        <v>85</v>
      </c>
      <c r="D68" s="32">
        <f t="shared" si="12"/>
        <v>50000</v>
      </c>
      <c r="E68" s="30"/>
      <c r="F68" s="25">
        <f t="shared" si="13"/>
        <v>50000</v>
      </c>
      <c r="G68" s="33">
        <v>50000</v>
      </c>
      <c r="H68" s="25"/>
      <c r="I68" s="49"/>
      <c r="J68" s="73">
        <f t="shared" si="9"/>
        <v>0</v>
      </c>
      <c r="K68" s="55">
        <f t="shared" si="14"/>
        <v>50000</v>
      </c>
      <c r="L68" s="63"/>
      <c r="M68" s="63"/>
      <c r="N68" s="63"/>
      <c r="O68" s="63"/>
      <c r="P68" s="63"/>
      <c r="Q68" s="63">
        <v>50000</v>
      </c>
      <c r="R68" s="63"/>
      <c r="S68" s="63"/>
      <c r="T68" s="63"/>
      <c r="U68" s="63"/>
      <c r="V68" s="63"/>
      <c r="W68" s="63"/>
      <c r="X68" s="63">
        <f t="shared" si="15"/>
        <v>50000</v>
      </c>
      <c r="Y68" s="75">
        <f t="shared" si="8"/>
        <v>0</v>
      </c>
    </row>
    <row r="69" spans="1:25" s="16" customFormat="1" ht="24.75" customHeight="1">
      <c r="A69" s="1"/>
      <c r="B69" s="29"/>
      <c r="C69" s="31" t="s">
        <v>111</v>
      </c>
      <c r="D69" s="32">
        <f t="shared" si="12"/>
        <v>25000</v>
      </c>
      <c r="E69" s="30"/>
      <c r="F69" s="25">
        <f t="shared" si="13"/>
        <v>25000</v>
      </c>
      <c r="G69" s="33">
        <v>25000</v>
      </c>
      <c r="H69" s="25"/>
      <c r="I69" s="49"/>
      <c r="J69" s="73">
        <f t="shared" si="9"/>
        <v>0</v>
      </c>
      <c r="K69" s="55">
        <f t="shared" si="14"/>
        <v>25000</v>
      </c>
      <c r="L69" s="63"/>
      <c r="M69" s="63"/>
      <c r="N69" s="63"/>
      <c r="O69" s="63"/>
      <c r="P69" s="63">
        <v>5000</v>
      </c>
      <c r="Q69" s="63"/>
      <c r="R69" s="63">
        <v>20000</v>
      </c>
      <c r="S69" s="63"/>
      <c r="T69" s="63"/>
      <c r="U69" s="63"/>
      <c r="V69" s="63"/>
      <c r="W69" s="63"/>
      <c r="X69" s="63">
        <f t="shared" si="15"/>
        <v>25000</v>
      </c>
      <c r="Y69" s="75">
        <f t="shared" si="8"/>
        <v>0</v>
      </c>
    </row>
    <row r="70" spans="1:25" s="16" customFormat="1" ht="24.75" customHeight="1">
      <c r="A70" s="1"/>
      <c r="B70" s="29"/>
      <c r="C70" s="59" t="s">
        <v>86</v>
      </c>
      <c r="D70" s="32">
        <f t="shared" si="12"/>
        <v>200000</v>
      </c>
      <c r="E70" s="30"/>
      <c r="F70" s="25">
        <f t="shared" si="13"/>
        <v>200000</v>
      </c>
      <c r="G70" s="33">
        <v>200000</v>
      </c>
      <c r="H70" s="25">
        <f>60000</f>
        <v>60000</v>
      </c>
      <c r="I70" s="49">
        <f>H70/D70*100</f>
        <v>30</v>
      </c>
      <c r="J70" s="73">
        <f t="shared" si="9"/>
        <v>44.44444444444444</v>
      </c>
      <c r="K70" s="55">
        <f t="shared" si="14"/>
        <v>75000</v>
      </c>
      <c r="L70" s="63"/>
      <c r="M70" s="63"/>
      <c r="N70" s="63"/>
      <c r="O70" s="63"/>
      <c r="P70" s="63">
        <v>60000</v>
      </c>
      <c r="Q70" s="63"/>
      <c r="R70" s="63">
        <f>65000-60000+70000</f>
        <v>75000</v>
      </c>
      <c r="S70" s="63">
        <v>65000</v>
      </c>
      <c r="T70" s="63">
        <f>70000-70000</f>
        <v>0</v>
      </c>
      <c r="U70" s="63"/>
      <c r="V70" s="63"/>
      <c r="W70" s="63"/>
      <c r="X70" s="63">
        <f t="shared" si="15"/>
        <v>200000</v>
      </c>
      <c r="Y70" s="75">
        <f t="shared" si="8"/>
        <v>0</v>
      </c>
    </row>
    <row r="71" spans="1:25" s="16" customFormat="1" ht="24.75" customHeight="1">
      <c r="A71" s="1"/>
      <c r="B71" s="29"/>
      <c r="C71" s="59" t="s">
        <v>87</v>
      </c>
      <c r="D71" s="32">
        <f t="shared" si="12"/>
        <v>200000</v>
      </c>
      <c r="E71" s="30"/>
      <c r="F71" s="25">
        <f t="shared" si="13"/>
        <v>200000</v>
      </c>
      <c r="G71" s="33">
        <v>200000</v>
      </c>
      <c r="H71" s="25"/>
      <c r="I71" s="49"/>
      <c r="J71" s="73">
        <f t="shared" si="9"/>
        <v>0</v>
      </c>
      <c r="K71" s="55">
        <f t="shared" si="14"/>
        <v>200000</v>
      </c>
      <c r="L71" s="63"/>
      <c r="M71" s="63"/>
      <c r="N71" s="63"/>
      <c r="O71" s="63">
        <v>60000</v>
      </c>
      <c r="P71" s="63">
        <f>-60000</f>
        <v>-60000</v>
      </c>
      <c r="Q71" s="63">
        <v>140000</v>
      </c>
      <c r="R71" s="63">
        <f>60000</f>
        <v>60000</v>
      </c>
      <c r="S71" s="63"/>
      <c r="T71" s="63"/>
      <c r="U71" s="63"/>
      <c r="V71" s="63"/>
      <c r="W71" s="63">
        <f>60000-60000</f>
        <v>0</v>
      </c>
      <c r="X71" s="63">
        <f t="shared" si="15"/>
        <v>200000</v>
      </c>
      <c r="Y71" s="75">
        <f t="shared" si="8"/>
        <v>0</v>
      </c>
    </row>
    <row r="72" spans="1:25" s="16" customFormat="1" ht="24.75" customHeight="1">
      <c r="A72" s="1"/>
      <c r="B72" s="29"/>
      <c r="C72" s="59" t="s">
        <v>88</v>
      </c>
      <c r="D72" s="32">
        <f t="shared" si="12"/>
        <v>300000</v>
      </c>
      <c r="E72" s="30"/>
      <c r="F72" s="25">
        <f t="shared" si="13"/>
        <v>300000</v>
      </c>
      <c r="G72" s="33">
        <v>300000</v>
      </c>
      <c r="H72" s="25">
        <f>300000</f>
        <v>300000</v>
      </c>
      <c r="I72" s="49">
        <f>H72/D72*100</f>
        <v>100</v>
      </c>
      <c r="J72" s="73"/>
      <c r="K72" s="55">
        <f t="shared" si="14"/>
        <v>0</v>
      </c>
      <c r="L72" s="63"/>
      <c r="M72" s="63"/>
      <c r="N72" s="63">
        <v>100000</v>
      </c>
      <c r="O72" s="63"/>
      <c r="P72" s="63">
        <f>200000-300000</f>
        <v>-100000</v>
      </c>
      <c r="Q72" s="63"/>
      <c r="R72" s="63">
        <f>300000</f>
        <v>300000</v>
      </c>
      <c r="S72" s="63"/>
      <c r="T72" s="63"/>
      <c r="U72" s="63"/>
      <c r="V72" s="63"/>
      <c r="W72" s="63">
        <f>300000-300000</f>
        <v>0</v>
      </c>
      <c r="X72" s="63">
        <f t="shared" si="15"/>
        <v>300000</v>
      </c>
      <c r="Y72" s="75">
        <f t="shared" si="8"/>
        <v>0</v>
      </c>
    </row>
    <row r="73" spans="1:25" s="16" customFormat="1" ht="24.75" customHeight="1">
      <c r="A73" s="1"/>
      <c r="B73" s="29"/>
      <c r="C73" s="61" t="s">
        <v>89</v>
      </c>
      <c r="D73" s="32">
        <f t="shared" si="12"/>
        <v>350000</v>
      </c>
      <c r="E73" s="30"/>
      <c r="F73" s="25">
        <f t="shared" si="13"/>
        <v>350000</v>
      </c>
      <c r="G73" s="33">
        <v>350000</v>
      </c>
      <c r="H73" s="25">
        <f>105000</f>
        <v>105000</v>
      </c>
      <c r="I73" s="49">
        <f>H73/D73*100</f>
        <v>30</v>
      </c>
      <c r="J73" s="73">
        <f t="shared" si="9"/>
        <v>30</v>
      </c>
      <c r="K73" s="55">
        <f t="shared" si="14"/>
        <v>245000</v>
      </c>
      <c r="L73" s="63"/>
      <c r="M73" s="63"/>
      <c r="N73" s="63">
        <v>215000</v>
      </c>
      <c r="O73" s="63"/>
      <c r="P73" s="63">
        <f>-50000-60000</f>
        <v>-110000</v>
      </c>
      <c r="Q73" s="63"/>
      <c r="R73" s="63">
        <f>60000+185000</f>
        <v>245000</v>
      </c>
      <c r="S73" s="63">
        <f>135000-135000</f>
        <v>0</v>
      </c>
      <c r="T73" s="63"/>
      <c r="U73" s="63"/>
      <c r="V73" s="63"/>
      <c r="W73" s="63">
        <f>50000-50000</f>
        <v>0</v>
      </c>
      <c r="X73" s="63">
        <f t="shared" si="15"/>
        <v>350000</v>
      </c>
      <c r="Y73" s="75">
        <f t="shared" si="8"/>
        <v>0</v>
      </c>
    </row>
    <row r="74" spans="1:25" s="16" customFormat="1" ht="24.75" customHeight="1">
      <c r="A74" s="1"/>
      <c r="B74" s="29"/>
      <c r="C74" s="60" t="s">
        <v>90</v>
      </c>
      <c r="D74" s="32">
        <f t="shared" si="12"/>
        <v>200000</v>
      </c>
      <c r="E74" s="30"/>
      <c r="F74" s="25">
        <f t="shared" si="13"/>
        <v>200000</v>
      </c>
      <c r="G74" s="33">
        <v>200000</v>
      </c>
      <c r="H74" s="25"/>
      <c r="I74" s="49"/>
      <c r="J74" s="73">
        <f t="shared" si="9"/>
        <v>0</v>
      </c>
      <c r="K74" s="55">
        <f t="shared" si="14"/>
        <v>30000</v>
      </c>
      <c r="L74" s="63"/>
      <c r="M74" s="63"/>
      <c r="N74" s="63">
        <v>60000</v>
      </c>
      <c r="O74" s="63"/>
      <c r="P74" s="63">
        <v>-60000</v>
      </c>
      <c r="Q74" s="63"/>
      <c r="R74" s="63">
        <v>30000</v>
      </c>
      <c r="S74" s="63">
        <f>21967+30000</f>
        <v>51967</v>
      </c>
      <c r="T74" s="63">
        <v>40000</v>
      </c>
      <c r="U74" s="63"/>
      <c r="V74" s="63"/>
      <c r="W74" s="63">
        <v>78033</v>
      </c>
      <c r="X74" s="63">
        <f t="shared" si="15"/>
        <v>200000</v>
      </c>
      <c r="Y74" s="75">
        <f t="shared" si="8"/>
        <v>0</v>
      </c>
    </row>
    <row r="75" spans="1:25" s="16" customFormat="1" ht="24.75" customHeight="1">
      <c r="A75" s="1"/>
      <c r="B75" s="29"/>
      <c r="C75" s="62" t="s">
        <v>91</v>
      </c>
      <c r="D75" s="32">
        <f t="shared" si="12"/>
        <v>250000</v>
      </c>
      <c r="E75" s="30"/>
      <c r="F75" s="25">
        <f t="shared" si="13"/>
        <v>250000</v>
      </c>
      <c r="G75" s="33">
        <v>250000</v>
      </c>
      <c r="H75" s="25"/>
      <c r="I75" s="49"/>
      <c r="J75" s="73"/>
      <c r="K75" s="55">
        <f t="shared" si="14"/>
        <v>0</v>
      </c>
      <c r="L75" s="63"/>
      <c r="M75" s="63"/>
      <c r="N75" s="63"/>
      <c r="O75" s="63"/>
      <c r="P75" s="63"/>
      <c r="Q75" s="63"/>
      <c r="R75" s="63"/>
      <c r="S75" s="63"/>
      <c r="T75" s="63">
        <v>125000</v>
      </c>
      <c r="U75" s="63">
        <v>125000</v>
      </c>
      <c r="V75" s="63"/>
      <c r="W75" s="63"/>
      <c r="X75" s="63">
        <f t="shared" si="15"/>
        <v>250000</v>
      </c>
      <c r="Y75" s="75">
        <f t="shared" si="8"/>
        <v>0</v>
      </c>
    </row>
    <row r="76" spans="1:25" s="16" customFormat="1" ht="24.75" customHeight="1">
      <c r="A76" s="1"/>
      <c r="B76" s="29"/>
      <c r="C76" s="60" t="s">
        <v>92</v>
      </c>
      <c r="D76" s="32">
        <f t="shared" si="12"/>
        <v>260000</v>
      </c>
      <c r="E76" s="30"/>
      <c r="F76" s="25">
        <f t="shared" si="13"/>
        <v>260000</v>
      </c>
      <c r="G76" s="33">
        <v>260000</v>
      </c>
      <c r="H76" s="25"/>
      <c r="I76" s="49"/>
      <c r="J76" s="73"/>
      <c r="K76" s="55">
        <f t="shared" si="14"/>
        <v>0</v>
      </c>
      <c r="L76" s="63"/>
      <c r="M76" s="63"/>
      <c r="N76" s="63"/>
      <c r="O76" s="63"/>
      <c r="P76" s="63"/>
      <c r="Q76" s="63"/>
      <c r="R76" s="63"/>
      <c r="S76" s="63"/>
      <c r="T76" s="63"/>
      <c r="U76" s="63">
        <v>135000</v>
      </c>
      <c r="V76" s="63">
        <v>125000</v>
      </c>
      <c r="W76" s="63"/>
      <c r="X76" s="63">
        <f t="shared" si="15"/>
        <v>260000</v>
      </c>
      <c r="Y76" s="75">
        <f t="shared" si="8"/>
        <v>0</v>
      </c>
    </row>
    <row r="77" spans="1:25" s="16" customFormat="1" ht="24.75" customHeight="1">
      <c r="A77" s="1"/>
      <c r="B77" s="29"/>
      <c r="C77" s="60" t="s">
        <v>109</v>
      </c>
      <c r="D77" s="32">
        <f t="shared" si="12"/>
        <v>150000</v>
      </c>
      <c r="E77" s="30"/>
      <c r="F77" s="25">
        <f t="shared" si="13"/>
        <v>150000</v>
      </c>
      <c r="G77" s="33">
        <v>150000</v>
      </c>
      <c r="H77" s="25"/>
      <c r="I77" s="49"/>
      <c r="J77" s="73"/>
      <c r="K77" s="55">
        <f t="shared" si="14"/>
        <v>0</v>
      </c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>
        <v>150000</v>
      </c>
      <c r="W77" s="63"/>
      <c r="X77" s="63">
        <f t="shared" si="15"/>
        <v>150000</v>
      </c>
      <c r="Y77" s="75">
        <f t="shared" si="8"/>
        <v>0</v>
      </c>
    </row>
    <row r="78" spans="1:25" s="16" customFormat="1" ht="24.75" customHeight="1">
      <c r="A78" s="1"/>
      <c r="B78" s="29"/>
      <c r="C78" s="60" t="s">
        <v>93</v>
      </c>
      <c r="D78" s="32">
        <f t="shared" si="12"/>
        <v>150000</v>
      </c>
      <c r="E78" s="30"/>
      <c r="F78" s="25">
        <f t="shared" si="13"/>
        <v>150000</v>
      </c>
      <c r="G78" s="33">
        <v>150000</v>
      </c>
      <c r="H78" s="25"/>
      <c r="I78" s="49"/>
      <c r="J78" s="73"/>
      <c r="K78" s="55">
        <f t="shared" si="14"/>
        <v>0</v>
      </c>
      <c r="L78" s="63"/>
      <c r="M78" s="63"/>
      <c r="N78" s="63"/>
      <c r="O78" s="63"/>
      <c r="P78" s="63"/>
      <c r="Q78" s="63"/>
      <c r="R78" s="63"/>
      <c r="S78" s="63"/>
      <c r="T78" s="63"/>
      <c r="U78" s="63">
        <v>150000</v>
      </c>
      <c r="V78" s="63"/>
      <c r="W78" s="63"/>
      <c r="X78" s="63">
        <f t="shared" si="15"/>
        <v>150000</v>
      </c>
      <c r="Y78" s="75">
        <f t="shared" si="8"/>
        <v>0</v>
      </c>
    </row>
    <row r="79" spans="1:25" s="16" customFormat="1" ht="24.75" customHeight="1">
      <c r="A79" s="1"/>
      <c r="B79" s="29"/>
      <c r="C79" s="59" t="s">
        <v>94</v>
      </c>
      <c r="D79" s="32">
        <f t="shared" si="12"/>
        <v>12500000</v>
      </c>
      <c r="E79" s="30"/>
      <c r="F79" s="25">
        <f t="shared" si="13"/>
        <v>12500000</v>
      </c>
      <c r="G79" s="33">
        <v>12500000</v>
      </c>
      <c r="H79" s="25">
        <f>6182.05+6000000</f>
        <v>6006182.05</v>
      </c>
      <c r="I79" s="25">
        <f>H79/D79*100</f>
        <v>48.0494564</v>
      </c>
      <c r="J79" s="73">
        <f t="shared" si="9"/>
        <v>98.36231545045402</v>
      </c>
      <c r="K79" s="55">
        <f t="shared" si="14"/>
        <v>100000</v>
      </c>
      <c r="L79" s="63"/>
      <c r="M79" s="63"/>
      <c r="N79" s="63">
        <v>125000</v>
      </c>
      <c r="O79" s="63"/>
      <c r="P79" s="63">
        <f>-118817.95</f>
        <v>-118817.95</v>
      </c>
      <c r="Q79" s="63"/>
      <c r="R79" s="63">
        <f>6000000+100000</f>
        <v>6100000</v>
      </c>
      <c r="S79" s="63"/>
      <c r="T79" s="63"/>
      <c r="U79" s="63">
        <f>2000000-100000</f>
        <v>1900000</v>
      </c>
      <c r="V79" s="63">
        <v>4375000</v>
      </c>
      <c r="W79" s="63">
        <f>118817.95</f>
        <v>118817.95</v>
      </c>
      <c r="X79" s="63">
        <f t="shared" si="15"/>
        <v>12500000</v>
      </c>
      <c r="Y79" s="75">
        <f t="shared" si="8"/>
        <v>0</v>
      </c>
    </row>
    <row r="80" spans="1:25" s="16" customFormat="1" ht="21.75" customHeight="1">
      <c r="A80" s="1"/>
      <c r="B80" s="29"/>
      <c r="C80" s="59" t="s">
        <v>95</v>
      </c>
      <c r="D80" s="32">
        <f t="shared" si="12"/>
        <v>3050000</v>
      </c>
      <c r="E80" s="30"/>
      <c r="F80" s="25">
        <f t="shared" si="13"/>
        <v>3050000</v>
      </c>
      <c r="G80" s="33">
        <f>3043000+7000</f>
        <v>3050000</v>
      </c>
      <c r="H80" s="25">
        <f>275933.34+29437.7+941917.2+15430.54+158281.2+54884.4+2515.78+901.08</f>
        <v>1479301.24</v>
      </c>
      <c r="I80" s="49">
        <f>H80/D80*100</f>
        <v>48.50168</v>
      </c>
      <c r="J80" s="73">
        <f t="shared" si="9"/>
        <v>76.18160385496205</v>
      </c>
      <c r="K80" s="55">
        <f t="shared" si="14"/>
        <v>462507.76</v>
      </c>
      <c r="L80" s="63"/>
      <c r="M80" s="63"/>
      <c r="N80" s="63">
        <v>754000</v>
      </c>
      <c r="O80" s="63">
        <v>7000</v>
      </c>
      <c r="P80" s="63">
        <v>764000</v>
      </c>
      <c r="Q80" s="63">
        <f>1255000-838191</f>
        <v>416809</v>
      </c>
      <c r="R80" s="63"/>
      <c r="S80" s="63"/>
      <c r="T80" s="63">
        <f>270000+150850</f>
        <v>420850</v>
      </c>
      <c r="U80" s="63">
        <f>687341</f>
        <v>687341</v>
      </c>
      <c r="V80" s="63"/>
      <c r="W80" s="63"/>
      <c r="X80" s="63">
        <f t="shared" si="15"/>
        <v>3050000</v>
      </c>
      <c r="Y80" s="75">
        <f t="shared" si="8"/>
        <v>0</v>
      </c>
    </row>
    <row r="81" spans="1:25" s="16" customFormat="1" ht="18.75" customHeight="1">
      <c r="A81" s="1"/>
      <c r="B81" s="29"/>
      <c r="C81" s="59" t="s">
        <v>96</v>
      </c>
      <c r="D81" s="32">
        <f t="shared" si="12"/>
        <v>2938191</v>
      </c>
      <c r="E81" s="30"/>
      <c r="F81" s="25">
        <f t="shared" si="13"/>
        <v>2938191</v>
      </c>
      <c r="G81" s="33">
        <f>6648900-7000+1500000-5115600-88109</f>
        <v>2938191</v>
      </c>
      <c r="H81" s="25">
        <f>1453283.2+635176.8+818106.4</f>
        <v>2906566.4</v>
      </c>
      <c r="I81" s="49">
        <f>H81/D81*100</f>
        <v>98.92367106154774</v>
      </c>
      <c r="J81" s="73">
        <f t="shared" si="9"/>
        <v>98.92367106154774</v>
      </c>
      <c r="K81" s="55">
        <f t="shared" si="14"/>
        <v>31624.600000000093</v>
      </c>
      <c r="L81" s="63"/>
      <c r="M81" s="63"/>
      <c r="N81" s="63">
        <v>7000</v>
      </c>
      <c r="O81" s="63">
        <v>-7000</v>
      </c>
      <c r="P81" s="63"/>
      <c r="Q81" s="63">
        <f>3315950+2000000-3315950+100000+838191</f>
        <v>2938191</v>
      </c>
      <c r="R81" s="63"/>
      <c r="S81" s="63"/>
      <c r="T81" s="63">
        <f>1000000-749150-100000-150850</f>
        <v>0</v>
      </c>
      <c r="U81" s="63">
        <f>1000000-1000000</f>
        <v>0</v>
      </c>
      <c r="V81" s="63">
        <f>1325950+1000000-1000000-550500-88109-687341</f>
        <v>0</v>
      </c>
      <c r="W81" s="63">
        <f>500000-500000</f>
        <v>0</v>
      </c>
      <c r="X81" s="63">
        <f t="shared" si="15"/>
        <v>2938191</v>
      </c>
      <c r="Y81" s="75">
        <f t="shared" si="8"/>
        <v>0</v>
      </c>
    </row>
    <row r="82" spans="1:25" s="16" customFormat="1" ht="18.75" customHeight="1">
      <c r="A82" s="1"/>
      <c r="B82" s="29"/>
      <c r="C82" s="31" t="s">
        <v>33</v>
      </c>
      <c r="D82" s="32">
        <f t="shared" si="12"/>
        <v>2519000</v>
      </c>
      <c r="E82" s="30"/>
      <c r="F82" s="25">
        <f t="shared" si="13"/>
        <v>2519000</v>
      </c>
      <c r="G82" s="33">
        <v>2519000</v>
      </c>
      <c r="H82" s="25">
        <f>595483.2+6729.38+480496.81</f>
        <v>1082709.39</v>
      </c>
      <c r="I82" s="49">
        <f>H82/D82*100</f>
        <v>42.981714569273514</v>
      </c>
      <c r="J82" s="73">
        <f t="shared" si="9"/>
        <v>42.981714569273514</v>
      </c>
      <c r="K82" s="55">
        <f t="shared" si="14"/>
        <v>1436290.61</v>
      </c>
      <c r="L82" s="63"/>
      <c r="M82" s="63">
        <v>300000</v>
      </c>
      <c r="N82" s="63">
        <v>330000</v>
      </c>
      <c r="O82" s="63"/>
      <c r="P82" s="63">
        <f>370000+105000</f>
        <v>475000</v>
      </c>
      <c r="Q82" s="63">
        <f>1519000-105000</f>
        <v>1414000</v>
      </c>
      <c r="R82" s="63"/>
      <c r="S82" s="63"/>
      <c r="T82" s="63"/>
      <c r="U82" s="63"/>
      <c r="V82" s="63"/>
      <c r="W82" s="63"/>
      <c r="X82" s="63">
        <f t="shared" si="15"/>
        <v>2519000</v>
      </c>
      <c r="Y82" s="75">
        <f t="shared" si="8"/>
        <v>0</v>
      </c>
    </row>
    <row r="83" spans="1:25" s="16" customFormat="1" ht="19.5" customHeight="1">
      <c r="A83" s="1"/>
      <c r="B83" s="29"/>
      <c r="C83" s="31" t="s">
        <v>34</v>
      </c>
      <c r="D83" s="32">
        <f t="shared" si="12"/>
        <v>4000000</v>
      </c>
      <c r="E83" s="30"/>
      <c r="F83" s="25">
        <f t="shared" si="13"/>
        <v>4000000</v>
      </c>
      <c r="G83" s="33">
        <f>125000+3875000</f>
        <v>4000000</v>
      </c>
      <c r="H83" s="25">
        <f>40071.36+84500</f>
        <v>124571.36</v>
      </c>
      <c r="I83" s="49">
        <f>H83/D83*100</f>
        <v>3.114284</v>
      </c>
      <c r="J83" s="73">
        <f t="shared" si="9"/>
        <v>5.931969523809523</v>
      </c>
      <c r="K83" s="55">
        <f t="shared" si="14"/>
        <v>1975428.64</v>
      </c>
      <c r="L83" s="63"/>
      <c r="M83" s="63"/>
      <c r="N83" s="63">
        <v>125000</v>
      </c>
      <c r="O83" s="63">
        <v>75000</v>
      </c>
      <c r="P83" s="63"/>
      <c r="Q83" s="63"/>
      <c r="R83" s="63">
        <v>1900000</v>
      </c>
      <c r="S83" s="63"/>
      <c r="T83" s="63"/>
      <c r="U83" s="63">
        <v>950000</v>
      </c>
      <c r="V83" s="63">
        <v>950000</v>
      </c>
      <c r="W83" s="63"/>
      <c r="X83" s="63">
        <f t="shared" si="15"/>
        <v>4000000</v>
      </c>
      <c r="Y83" s="75">
        <f t="shared" si="8"/>
        <v>0</v>
      </c>
    </row>
    <row r="84" spans="1:25" s="16" customFormat="1" ht="19.5" customHeight="1">
      <c r="A84" s="1"/>
      <c r="B84" s="29"/>
      <c r="C84" s="31" t="s">
        <v>117</v>
      </c>
      <c r="D84" s="32">
        <f>F84</f>
        <v>100000</v>
      </c>
      <c r="E84" s="30"/>
      <c r="F84" s="25">
        <f>G84</f>
        <v>100000</v>
      </c>
      <c r="G84" s="33">
        <v>100000</v>
      </c>
      <c r="H84" s="25"/>
      <c r="I84" s="49"/>
      <c r="J84" s="73">
        <f t="shared" si="9"/>
        <v>0</v>
      </c>
      <c r="K84" s="55">
        <f t="shared" si="14"/>
        <v>100000</v>
      </c>
      <c r="L84" s="63"/>
      <c r="M84" s="63"/>
      <c r="N84" s="63"/>
      <c r="O84" s="63"/>
      <c r="P84" s="63"/>
      <c r="Q84" s="63">
        <v>100000</v>
      </c>
      <c r="R84" s="63"/>
      <c r="S84" s="63"/>
      <c r="T84" s="63"/>
      <c r="U84" s="63"/>
      <c r="V84" s="63"/>
      <c r="W84" s="63"/>
      <c r="X84" s="63">
        <f t="shared" si="15"/>
        <v>100000</v>
      </c>
      <c r="Y84" s="75">
        <f t="shared" si="8"/>
        <v>0</v>
      </c>
    </row>
    <row r="85" spans="1:25" s="16" customFormat="1" ht="40.5" customHeight="1">
      <c r="A85" s="1"/>
      <c r="B85" s="29"/>
      <c r="C85" s="59" t="s">
        <v>35</v>
      </c>
      <c r="D85" s="32">
        <f t="shared" si="12"/>
        <v>147000</v>
      </c>
      <c r="E85" s="30"/>
      <c r="F85" s="25">
        <f t="shared" si="13"/>
        <v>147000</v>
      </c>
      <c r="G85" s="33">
        <f>462000+385000-700000</f>
        <v>147000</v>
      </c>
      <c r="H85" s="25"/>
      <c r="I85" s="49"/>
      <c r="J85" s="73">
        <f t="shared" si="9"/>
        <v>0</v>
      </c>
      <c r="K85" s="55">
        <f t="shared" si="14"/>
        <v>147000</v>
      </c>
      <c r="L85" s="63"/>
      <c r="M85" s="63">
        <v>462000</v>
      </c>
      <c r="N85" s="63">
        <v>-315000</v>
      </c>
      <c r="O85" s="63"/>
      <c r="P85" s="63"/>
      <c r="Q85" s="63"/>
      <c r="R85" s="63"/>
      <c r="S85" s="63"/>
      <c r="T85" s="63">
        <f>125000-125000</f>
        <v>0</v>
      </c>
      <c r="U85" s="63">
        <f>260000-260000</f>
        <v>0</v>
      </c>
      <c r="V85" s="63"/>
      <c r="W85" s="63"/>
      <c r="X85" s="63">
        <f t="shared" si="15"/>
        <v>147000</v>
      </c>
      <c r="Y85" s="75">
        <f t="shared" si="8"/>
        <v>0</v>
      </c>
    </row>
    <row r="86" spans="1:25" s="16" customFormat="1" ht="40.5" customHeight="1">
      <c r="A86" s="1"/>
      <c r="B86" s="29"/>
      <c r="C86" s="59" t="s">
        <v>97</v>
      </c>
      <c r="D86" s="32">
        <f t="shared" si="12"/>
        <v>3000000</v>
      </c>
      <c r="E86" s="30"/>
      <c r="F86" s="25">
        <f t="shared" si="13"/>
        <v>3000000</v>
      </c>
      <c r="G86" s="33">
        <v>3000000</v>
      </c>
      <c r="H86" s="25">
        <f>1400000</f>
        <v>1400000</v>
      </c>
      <c r="I86" s="49">
        <f>H86/D86*100</f>
        <v>46.666666666666664</v>
      </c>
      <c r="J86" s="73">
        <f t="shared" si="9"/>
        <v>95.8904109589041</v>
      </c>
      <c r="K86" s="55">
        <f t="shared" si="14"/>
        <v>60000</v>
      </c>
      <c r="L86" s="63"/>
      <c r="M86" s="63"/>
      <c r="N86" s="63"/>
      <c r="O86" s="63">
        <v>80000</v>
      </c>
      <c r="P86" s="63">
        <f>-80000</f>
        <v>-80000</v>
      </c>
      <c r="Q86" s="63"/>
      <c r="R86" s="63">
        <v>1460000</v>
      </c>
      <c r="S86" s="63">
        <v>1460000</v>
      </c>
      <c r="T86" s="63"/>
      <c r="U86" s="63"/>
      <c r="V86" s="63"/>
      <c r="W86" s="63">
        <f>80000</f>
        <v>80000</v>
      </c>
      <c r="X86" s="63">
        <f t="shared" si="15"/>
        <v>3000000</v>
      </c>
      <c r="Y86" s="75">
        <f t="shared" si="8"/>
        <v>0</v>
      </c>
    </row>
    <row r="87" spans="1:25" s="16" customFormat="1" ht="40.5" customHeight="1">
      <c r="A87" s="1"/>
      <c r="B87" s="29"/>
      <c r="C87" s="31" t="s">
        <v>36</v>
      </c>
      <c r="D87" s="32">
        <f t="shared" si="12"/>
        <v>2188000</v>
      </c>
      <c r="E87" s="30"/>
      <c r="F87" s="25">
        <f t="shared" si="13"/>
        <v>2188000</v>
      </c>
      <c r="G87" s="33">
        <f>988000+1200000</f>
        <v>2188000</v>
      </c>
      <c r="H87" s="25">
        <f>286305.66+72060+594.73+601021.9+5516.59+658722</f>
        <v>1624220.88</v>
      </c>
      <c r="I87" s="49">
        <f>H87/D87*100</f>
        <v>74.23312979890311</v>
      </c>
      <c r="J87" s="73">
        <f t="shared" si="9"/>
        <v>82.10184325215685</v>
      </c>
      <c r="K87" s="55">
        <f t="shared" si="14"/>
        <v>354079.26000000024</v>
      </c>
      <c r="L87" s="63"/>
      <c r="M87" s="63">
        <v>400000</v>
      </c>
      <c r="N87" s="63">
        <v>588000</v>
      </c>
      <c r="O87" s="63"/>
      <c r="P87" s="63">
        <f>-28017.71+600000</f>
        <v>571982.29</v>
      </c>
      <c r="Q87" s="63">
        <v>65000</v>
      </c>
      <c r="R87" s="63">
        <f>600000-65000-181682.15</f>
        <v>353317.85</v>
      </c>
      <c r="S87" s="63"/>
      <c r="T87" s="63"/>
      <c r="U87" s="63"/>
      <c r="V87" s="63"/>
      <c r="W87" s="63">
        <f>28017.71+181682.15</f>
        <v>209699.86</v>
      </c>
      <c r="X87" s="63">
        <f t="shared" si="15"/>
        <v>2188000</v>
      </c>
      <c r="Y87" s="75">
        <f t="shared" si="8"/>
        <v>0</v>
      </c>
    </row>
    <row r="88" spans="1:25" s="16" customFormat="1" ht="39.75" customHeight="1">
      <c r="A88" s="1"/>
      <c r="B88" s="29"/>
      <c r="C88" s="59" t="s">
        <v>37</v>
      </c>
      <c r="D88" s="32">
        <f t="shared" si="12"/>
        <v>254000</v>
      </c>
      <c r="E88" s="30"/>
      <c r="F88" s="25">
        <f t="shared" si="13"/>
        <v>254000</v>
      </c>
      <c r="G88" s="33">
        <f>314000+940000-1000000</f>
        <v>254000</v>
      </c>
      <c r="H88" s="25">
        <f>72317.85</f>
        <v>72317.85</v>
      </c>
      <c r="I88" s="49">
        <f>H88/D88*100</f>
        <v>28.471594488188977</v>
      </c>
      <c r="J88" s="73">
        <f t="shared" si="9"/>
        <v>28.471594488188977</v>
      </c>
      <c r="K88" s="55">
        <f t="shared" si="14"/>
        <v>181682.15</v>
      </c>
      <c r="L88" s="63"/>
      <c r="M88" s="63">
        <v>314000</v>
      </c>
      <c r="N88" s="63">
        <v>-60000</v>
      </c>
      <c r="O88" s="63">
        <f>940000-940000</f>
        <v>0</v>
      </c>
      <c r="P88" s="63">
        <f>-181682.15</f>
        <v>-181682.15</v>
      </c>
      <c r="Q88" s="63"/>
      <c r="R88" s="63">
        <f>181682.15</f>
        <v>181682.15</v>
      </c>
      <c r="S88" s="63"/>
      <c r="T88" s="63"/>
      <c r="U88" s="63"/>
      <c r="V88" s="63"/>
      <c r="W88" s="63">
        <f>181682.15-181682.15</f>
        <v>0</v>
      </c>
      <c r="X88" s="63">
        <f t="shared" si="15"/>
        <v>254000</v>
      </c>
      <c r="Y88" s="75">
        <f t="shared" si="8"/>
        <v>0</v>
      </c>
    </row>
    <row r="89" spans="1:25" s="16" customFormat="1" ht="39.75" customHeight="1">
      <c r="A89" s="1"/>
      <c r="B89" s="29"/>
      <c r="C89" s="59" t="s">
        <v>98</v>
      </c>
      <c r="D89" s="32">
        <f t="shared" si="12"/>
        <v>16000000</v>
      </c>
      <c r="E89" s="30"/>
      <c r="F89" s="25">
        <f t="shared" si="13"/>
        <v>16000000</v>
      </c>
      <c r="G89" s="33">
        <v>16000000</v>
      </c>
      <c r="H89" s="25">
        <f>13429+7850000+306023.62</f>
        <v>8169452.62</v>
      </c>
      <c r="I89" s="49">
        <f>H89/D89*100</f>
        <v>51.059078875</v>
      </c>
      <c r="J89" s="73">
        <f t="shared" si="9"/>
        <v>99.77348094772839</v>
      </c>
      <c r="K89" s="55">
        <f t="shared" si="14"/>
        <v>18547.37999999989</v>
      </c>
      <c r="L89" s="63"/>
      <c r="M89" s="63"/>
      <c r="N89" s="63">
        <f>700000+418000+500000</f>
        <v>1618000</v>
      </c>
      <c r="O89" s="63"/>
      <c r="P89" s="63">
        <f>6400000</f>
        <v>6400000</v>
      </c>
      <c r="Q89" s="63">
        <f>170000</f>
        <v>170000</v>
      </c>
      <c r="R89" s="63"/>
      <c r="S89" s="63"/>
      <c r="T89" s="64">
        <f>649385.76</f>
        <v>649385.76</v>
      </c>
      <c r="U89" s="63">
        <f>3000000</f>
        <v>3000000</v>
      </c>
      <c r="V89" s="64">
        <v>3741261.78</v>
      </c>
      <c r="W89" s="64">
        <f>3421352.46-3000000</f>
        <v>421352.45999999996</v>
      </c>
      <c r="X89" s="63">
        <f t="shared" si="15"/>
        <v>16000000</v>
      </c>
      <c r="Y89" s="75">
        <f aca="true" t="shared" si="16" ref="Y89:Y102">D89-X89</f>
        <v>0</v>
      </c>
    </row>
    <row r="90" spans="1:25" s="16" customFormat="1" ht="22.5" customHeight="1">
      <c r="A90" s="1"/>
      <c r="B90" s="29"/>
      <c r="C90" s="31" t="s">
        <v>38</v>
      </c>
      <c r="D90" s="32">
        <f t="shared" si="12"/>
        <v>137000</v>
      </c>
      <c r="E90" s="30"/>
      <c r="F90" s="25">
        <f t="shared" si="13"/>
        <v>137000</v>
      </c>
      <c r="G90" s="33">
        <f>837000-700000</f>
        <v>137000</v>
      </c>
      <c r="H90" s="25"/>
      <c r="I90" s="49"/>
      <c r="J90" s="73"/>
      <c r="K90" s="55">
        <f t="shared" si="14"/>
        <v>137000</v>
      </c>
      <c r="L90" s="63"/>
      <c r="M90" s="63">
        <v>300000</v>
      </c>
      <c r="N90" s="63">
        <f>537000-700000</f>
        <v>-163000</v>
      </c>
      <c r="O90" s="63"/>
      <c r="P90" s="63">
        <f>-137000</f>
        <v>-137000</v>
      </c>
      <c r="Q90" s="63"/>
      <c r="R90" s="63">
        <f>137000</f>
        <v>137000</v>
      </c>
      <c r="S90" s="63"/>
      <c r="T90" s="63"/>
      <c r="U90" s="63"/>
      <c r="V90" s="63"/>
      <c r="W90" s="63">
        <f>137000-137000</f>
        <v>0</v>
      </c>
      <c r="X90" s="63">
        <f t="shared" si="15"/>
        <v>137000</v>
      </c>
      <c r="Y90" s="75">
        <f t="shared" si="16"/>
        <v>0</v>
      </c>
    </row>
    <row r="91" spans="1:25" s="16" customFormat="1" ht="38.25" customHeight="1">
      <c r="A91" s="1"/>
      <c r="B91" s="29"/>
      <c r="C91" s="31" t="s">
        <v>3</v>
      </c>
      <c r="D91" s="32">
        <f>F91</f>
        <v>400000</v>
      </c>
      <c r="E91" s="6"/>
      <c r="F91" s="25">
        <f t="shared" si="13"/>
        <v>400000</v>
      </c>
      <c r="G91" s="33">
        <f>900000-500000</f>
        <v>400000</v>
      </c>
      <c r="H91" s="25"/>
      <c r="I91" s="49"/>
      <c r="J91" s="73">
        <f aca="true" t="shared" si="17" ref="J91:J104">H91/(L91+M91+N91+O91+P91+Q91+R91)*100</f>
        <v>0</v>
      </c>
      <c r="K91" s="55">
        <f t="shared" si="14"/>
        <v>390000</v>
      </c>
      <c r="L91" s="63"/>
      <c r="M91" s="63">
        <v>300000</v>
      </c>
      <c r="N91" s="63">
        <f>600000-500000</f>
        <v>100000</v>
      </c>
      <c r="O91" s="63"/>
      <c r="P91" s="63">
        <f>-192000-128000-80000</f>
        <v>-400000</v>
      </c>
      <c r="Q91" s="63">
        <v>128000</v>
      </c>
      <c r="R91" s="63">
        <f>70000+192000</f>
        <v>262000</v>
      </c>
      <c r="S91" s="63">
        <v>10000</v>
      </c>
      <c r="T91" s="63"/>
      <c r="U91" s="63"/>
      <c r="V91" s="63"/>
      <c r="W91" s="63">
        <f>192000-192000</f>
        <v>0</v>
      </c>
      <c r="X91" s="63">
        <f t="shared" si="15"/>
        <v>400000</v>
      </c>
      <c r="Y91" s="75">
        <f t="shared" si="16"/>
        <v>0</v>
      </c>
    </row>
    <row r="92" spans="1:25" s="16" customFormat="1" ht="40.5" customHeight="1">
      <c r="A92" s="1"/>
      <c r="B92" s="29"/>
      <c r="C92" s="31" t="s">
        <v>4</v>
      </c>
      <c r="D92" s="32">
        <f>F92</f>
        <v>248000</v>
      </c>
      <c r="E92" s="6"/>
      <c r="F92" s="25">
        <f t="shared" si="13"/>
        <v>248000</v>
      </c>
      <c r="G92" s="25">
        <v>248000</v>
      </c>
      <c r="H92" s="25"/>
      <c r="I92" s="49"/>
      <c r="J92" s="73"/>
      <c r="K92" s="55">
        <f t="shared" si="14"/>
        <v>0</v>
      </c>
      <c r="L92" s="63"/>
      <c r="M92" s="63">
        <v>248000</v>
      </c>
      <c r="N92" s="63"/>
      <c r="O92" s="63"/>
      <c r="P92" s="63">
        <f>-167000-81000</f>
        <v>-248000</v>
      </c>
      <c r="Q92" s="63"/>
      <c r="R92" s="63"/>
      <c r="S92" s="63">
        <v>71000</v>
      </c>
      <c r="T92" s="63">
        <v>10000</v>
      </c>
      <c r="U92" s="63"/>
      <c r="V92" s="63"/>
      <c r="W92" s="63">
        <f>167000</f>
        <v>167000</v>
      </c>
      <c r="X92" s="63">
        <f t="shared" si="15"/>
        <v>248000</v>
      </c>
      <c r="Y92" s="75">
        <f t="shared" si="16"/>
        <v>0</v>
      </c>
    </row>
    <row r="93" spans="1:25" s="16" customFormat="1" ht="40.5" customHeight="1">
      <c r="A93" s="1"/>
      <c r="B93" s="29"/>
      <c r="C93" s="59" t="s">
        <v>99</v>
      </c>
      <c r="D93" s="32">
        <f aca="true" t="shared" si="18" ref="D93:D101">F93</f>
        <v>13000000</v>
      </c>
      <c r="E93" s="6"/>
      <c r="F93" s="25">
        <f t="shared" si="13"/>
        <v>13000000</v>
      </c>
      <c r="G93" s="33">
        <v>13000000</v>
      </c>
      <c r="H93" s="25"/>
      <c r="I93" s="49"/>
      <c r="J93" s="73">
        <f t="shared" si="17"/>
        <v>0</v>
      </c>
      <c r="K93" s="55">
        <f t="shared" si="14"/>
        <v>2443000</v>
      </c>
      <c r="L93" s="63"/>
      <c r="M93" s="63"/>
      <c r="N93" s="63"/>
      <c r="O93" s="63">
        <v>20000</v>
      </c>
      <c r="P93" s="63"/>
      <c r="Q93" s="63">
        <f>6490000-2065000</f>
        <v>4425000</v>
      </c>
      <c r="R93" s="63">
        <f>65000-2067000</f>
        <v>-2002000</v>
      </c>
      <c r="S93" s="63">
        <f>6490000+235000</f>
        <v>6725000</v>
      </c>
      <c r="T93" s="63">
        <f>470000</f>
        <v>470000</v>
      </c>
      <c r="U93" s="63">
        <f>1000000+507000</f>
        <v>1507000</v>
      </c>
      <c r="V93" s="63">
        <v>1000000</v>
      </c>
      <c r="W93" s="63">
        <f>855000</f>
        <v>855000</v>
      </c>
      <c r="X93" s="63">
        <f t="shared" si="15"/>
        <v>13000000</v>
      </c>
      <c r="Y93" s="75">
        <f t="shared" si="16"/>
        <v>0</v>
      </c>
    </row>
    <row r="94" spans="1:25" s="16" customFormat="1" ht="40.5" customHeight="1">
      <c r="A94" s="1"/>
      <c r="B94" s="29"/>
      <c r="C94" s="59" t="s">
        <v>100</v>
      </c>
      <c r="D94" s="32">
        <f t="shared" si="18"/>
        <v>3585100</v>
      </c>
      <c r="E94" s="6"/>
      <c r="F94" s="25">
        <f t="shared" si="13"/>
        <v>3585100</v>
      </c>
      <c r="G94" s="33">
        <f>400000+3185100</f>
        <v>3585100</v>
      </c>
      <c r="H94" s="25">
        <v>142252.63</v>
      </c>
      <c r="I94" s="49">
        <f>H94/D94*100</f>
        <v>3.9678845778360436</v>
      </c>
      <c r="J94" s="73">
        <f t="shared" si="17"/>
        <v>4.87968241164766</v>
      </c>
      <c r="K94" s="55">
        <f t="shared" si="14"/>
        <v>2772950</v>
      </c>
      <c r="L94" s="63"/>
      <c r="M94" s="63"/>
      <c r="N94" s="63"/>
      <c r="O94" s="63"/>
      <c r="P94" s="63">
        <f>120000-747.37+23000</f>
        <v>142252.63</v>
      </c>
      <c r="Q94" s="63">
        <f>140000-23000+2515950</f>
        <v>2632950</v>
      </c>
      <c r="R94" s="63">
        <v>140000</v>
      </c>
      <c r="S94" s="63"/>
      <c r="T94" s="63">
        <v>669150</v>
      </c>
      <c r="U94" s="63"/>
      <c r="V94" s="63"/>
      <c r="W94" s="63">
        <f>747.37</f>
        <v>747.37</v>
      </c>
      <c r="X94" s="63">
        <f t="shared" si="15"/>
        <v>3585100</v>
      </c>
      <c r="Y94" s="75">
        <f t="shared" si="16"/>
        <v>0</v>
      </c>
    </row>
    <row r="95" spans="1:25" s="16" customFormat="1" ht="40.5" customHeight="1">
      <c r="A95" s="1"/>
      <c r="B95" s="29"/>
      <c r="C95" s="59" t="s">
        <v>101</v>
      </c>
      <c r="D95" s="32">
        <f t="shared" si="18"/>
        <v>300000</v>
      </c>
      <c r="E95" s="6"/>
      <c r="F95" s="25">
        <f t="shared" si="13"/>
        <v>300000</v>
      </c>
      <c r="G95" s="33">
        <v>300000</v>
      </c>
      <c r="H95" s="25">
        <f>81000+29133</f>
        <v>110133</v>
      </c>
      <c r="I95" s="49">
        <f>H95/D95*100</f>
        <v>36.711</v>
      </c>
      <c r="J95" s="73">
        <f t="shared" si="17"/>
        <v>52.195734597156395</v>
      </c>
      <c r="K95" s="55">
        <f t="shared" si="14"/>
        <v>100867</v>
      </c>
      <c r="L95" s="63"/>
      <c r="M95" s="63"/>
      <c r="N95" s="63"/>
      <c r="O95" s="63"/>
      <c r="P95" s="63">
        <v>111000</v>
      </c>
      <c r="Q95" s="63"/>
      <c r="R95" s="63">
        <f>100000-100000+100000</f>
        <v>100000</v>
      </c>
      <c r="S95" s="63">
        <f>100000-11000</f>
        <v>89000</v>
      </c>
      <c r="T95" s="63">
        <f>100000-100000</f>
        <v>0</v>
      </c>
      <c r="U95" s="63"/>
      <c r="V95" s="63"/>
      <c r="W95" s="63"/>
      <c r="X95" s="63">
        <f t="shared" si="15"/>
        <v>300000</v>
      </c>
      <c r="Y95" s="75">
        <f t="shared" si="16"/>
        <v>0</v>
      </c>
    </row>
    <row r="96" spans="1:25" s="16" customFormat="1" ht="40.5" customHeight="1">
      <c r="A96" s="1"/>
      <c r="B96" s="29"/>
      <c r="C96" s="59" t="s">
        <v>102</v>
      </c>
      <c r="D96" s="32">
        <f t="shared" si="18"/>
        <v>300000</v>
      </c>
      <c r="E96" s="6"/>
      <c r="F96" s="25">
        <f t="shared" si="13"/>
        <v>300000</v>
      </c>
      <c r="G96" s="33">
        <v>300000</v>
      </c>
      <c r="H96" s="25">
        <f>81000+28897</f>
        <v>109897</v>
      </c>
      <c r="I96" s="49">
        <f>H96/D96*100</f>
        <v>36.632333333333335</v>
      </c>
      <c r="J96" s="73">
        <f t="shared" si="17"/>
        <v>99.90636363636364</v>
      </c>
      <c r="K96" s="55">
        <f t="shared" si="14"/>
        <v>103</v>
      </c>
      <c r="L96" s="63"/>
      <c r="M96" s="63"/>
      <c r="N96" s="63"/>
      <c r="O96" s="63"/>
      <c r="P96" s="63">
        <v>110000</v>
      </c>
      <c r="Q96" s="63"/>
      <c r="R96" s="63"/>
      <c r="S96" s="63">
        <f>100000-100000</f>
        <v>0</v>
      </c>
      <c r="T96" s="63">
        <f>100000-10000</f>
        <v>90000</v>
      </c>
      <c r="U96" s="63">
        <v>100000</v>
      </c>
      <c r="V96" s="63"/>
      <c r="W96" s="63"/>
      <c r="X96" s="63">
        <f t="shared" si="15"/>
        <v>300000</v>
      </c>
      <c r="Y96" s="75">
        <f t="shared" si="16"/>
        <v>0</v>
      </c>
    </row>
    <row r="97" spans="1:25" s="16" customFormat="1" ht="40.5" customHeight="1">
      <c r="A97" s="1"/>
      <c r="B97" s="29"/>
      <c r="C97" s="59" t="s">
        <v>103</v>
      </c>
      <c r="D97" s="32">
        <f t="shared" si="18"/>
        <v>538000</v>
      </c>
      <c r="E97" s="6"/>
      <c r="F97" s="25">
        <f t="shared" si="13"/>
        <v>538000</v>
      </c>
      <c r="G97" s="33">
        <v>538000</v>
      </c>
      <c r="H97" s="25">
        <v>139785.59</v>
      </c>
      <c r="I97" s="49">
        <f>H97/D97*100</f>
        <v>25.982451672862457</v>
      </c>
      <c r="J97" s="73">
        <f t="shared" si="17"/>
        <v>40.0531776504298</v>
      </c>
      <c r="K97" s="55">
        <f t="shared" si="14"/>
        <v>209214.41</v>
      </c>
      <c r="L97" s="63"/>
      <c r="M97" s="63"/>
      <c r="N97" s="63"/>
      <c r="O97" s="63"/>
      <c r="P97" s="63"/>
      <c r="Q97" s="63">
        <v>160000</v>
      </c>
      <c r="R97" s="63">
        <v>189000</v>
      </c>
      <c r="S97" s="63">
        <v>189000</v>
      </c>
      <c r="T97" s="63"/>
      <c r="U97" s="63"/>
      <c r="V97" s="63"/>
      <c r="W97" s="63"/>
      <c r="X97" s="63">
        <f t="shared" si="15"/>
        <v>538000</v>
      </c>
      <c r="Y97" s="75">
        <f t="shared" si="16"/>
        <v>0</v>
      </c>
    </row>
    <row r="98" spans="1:25" s="16" customFormat="1" ht="21" customHeight="1">
      <c r="A98" s="1"/>
      <c r="B98" s="29"/>
      <c r="C98" s="59" t="s">
        <v>104</v>
      </c>
      <c r="D98" s="32">
        <f t="shared" si="18"/>
        <v>5000</v>
      </c>
      <c r="E98" s="6"/>
      <c r="F98" s="25">
        <f t="shared" si="13"/>
        <v>5000</v>
      </c>
      <c r="G98" s="33">
        <v>5000</v>
      </c>
      <c r="H98" s="25"/>
      <c r="I98" s="49"/>
      <c r="J98" s="73">
        <f t="shared" si="17"/>
        <v>0</v>
      </c>
      <c r="K98" s="55">
        <f t="shared" si="14"/>
        <v>5000</v>
      </c>
      <c r="L98" s="63"/>
      <c r="M98" s="63"/>
      <c r="N98" s="63"/>
      <c r="O98" s="63"/>
      <c r="P98" s="63">
        <v>5000</v>
      </c>
      <c r="Q98" s="63"/>
      <c r="R98" s="63"/>
      <c r="S98" s="63"/>
      <c r="T98" s="63"/>
      <c r="U98" s="63"/>
      <c r="V98" s="63"/>
      <c r="W98" s="63"/>
      <c r="X98" s="63">
        <f t="shared" si="15"/>
        <v>5000</v>
      </c>
      <c r="Y98" s="75">
        <f t="shared" si="16"/>
        <v>0</v>
      </c>
    </row>
    <row r="99" spans="1:25" s="16" customFormat="1" ht="26.25" customHeight="1">
      <c r="A99" s="1"/>
      <c r="B99" s="29"/>
      <c r="C99" s="59" t="s">
        <v>105</v>
      </c>
      <c r="D99" s="32">
        <f t="shared" si="18"/>
        <v>20640</v>
      </c>
      <c r="E99" s="6"/>
      <c r="F99" s="25">
        <f t="shared" si="13"/>
        <v>20640</v>
      </c>
      <c r="G99" s="33">
        <v>20640</v>
      </c>
      <c r="H99" s="25"/>
      <c r="I99" s="49"/>
      <c r="J99" s="73"/>
      <c r="K99" s="55">
        <f t="shared" si="14"/>
        <v>0</v>
      </c>
      <c r="L99" s="63"/>
      <c r="M99" s="63"/>
      <c r="N99" s="63"/>
      <c r="O99" s="63"/>
      <c r="P99" s="63"/>
      <c r="Q99" s="63"/>
      <c r="R99" s="63"/>
      <c r="S99" s="63"/>
      <c r="T99" s="63">
        <v>20640</v>
      </c>
      <c r="U99" s="63"/>
      <c r="V99" s="63"/>
      <c r="W99" s="63"/>
      <c r="X99" s="63">
        <f t="shared" si="15"/>
        <v>20640</v>
      </c>
      <c r="Y99" s="75">
        <f t="shared" si="16"/>
        <v>0</v>
      </c>
    </row>
    <row r="100" spans="1:25" s="16" customFormat="1" ht="22.5" customHeight="1">
      <c r="A100" s="1"/>
      <c r="B100" s="29"/>
      <c r="C100" s="60" t="s">
        <v>106</v>
      </c>
      <c r="D100" s="32">
        <f t="shared" si="18"/>
        <v>250000</v>
      </c>
      <c r="E100" s="6"/>
      <c r="F100" s="25">
        <f t="shared" si="13"/>
        <v>250000</v>
      </c>
      <c r="G100" s="33">
        <v>250000</v>
      </c>
      <c r="H100" s="25"/>
      <c r="I100" s="49"/>
      <c r="J100" s="73"/>
      <c r="K100" s="55">
        <f t="shared" si="14"/>
        <v>0</v>
      </c>
      <c r="L100" s="63"/>
      <c r="M100" s="63"/>
      <c r="N100" s="63"/>
      <c r="O100" s="63"/>
      <c r="P100" s="63"/>
      <c r="Q100" s="63"/>
      <c r="R100" s="63"/>
      <c r="S100" s="63"/>
      <c r="T100" s="63">
        <v>250000</v>
      </c>
      <c r="U100" s="63"/>
      <c r="V100" s="63"/>
      <c r="W100" s="63"/>
      <c r="X100" s="63">
        <f t="shared" si="15"/>
        <v>250000</v>
      </c>
      <c r="Y100" s="75">
        <f t="shared" si="16"/>
        <v>0</v>
      </c>
    </row>
    <row r="101" spans="1:25" s="16" customFormat="1" ht="22.5" customHeight="1">
      <c r="A101" s="1"/>
      <c r="B101" s="29"/>
      <c r="C101" s="59" t="s">
        <v>107</v>
      </c>
      <c r="D101" s="32">
        <f t="shared" si="18"/>
        <v>2050000</v>
      </c>
      <c r="E101" s="6"/>
      <c r="F101" s="25">
        <f t="shared" si="13"/>
        <v>2050000</v>
      </c>
      <c r="G101" s="33">
        <f>50000+2000000</f>
        <v>2050000</v>
      </c>
      <c r="H101" s="25"/>
      <c r="I101" s="49"/>
      <c r="J101" s="73"/>
      <c r="K101" s="55">
        <f t="shared" si="14"/>
        <v>0</v>
      </c>
      <c r="L101" s="63"/>
      <c r="M101" s="63"/>
      <c r="N101" s="63"/>
      <c r="O101" s="63"/>
      <c r="P101" s="63"/>
      <c r="Q101" s="63"/>
      <c r="R101" s="63"/>
      <c r="S101" s="63"/>
      <c r="T101" s="63">
        <v>50000</v>
      </c>
      <c r="U101" s="63"/>
      <c r="V101" s="63">
        <v>1081074.46</v>
      </c>
      <c r="W101" s="63">
        <v>918925.54</v>
      </c>
      <c r="X101" s="63">
        <f t="shared" si="15"/>
        <v>2050000</v>
      </c>
      <c r="Y101" s="75">
        <f t="shared" si="16"/>
        <v>0</v>
      </c>
    </row>
    <row r="102" spans="1:25" ht="18.75">
      <c r="A102" s="34"/>
      <c r="B102" s="18"/>
      <c r="C102" s="35" t="s">
        <v>10</v>
      </c>
      <c r="D102" s="20">
        <f>D8+D50</f>
        <v>195176329.86</v>
      </c>
      <c r="E102" s="20">
        <f>E8+E50</f>
        <v>31136618.86</v>
      </c>
      <c r="F102" s="20">
        <f>F8+F50</f>
        <v>164039711</v>
      </c>
      <c r="G102" s="20">
        <f>G8+G50</f>
        <v>164039711</v>
      </c>
      <c r="H102" s="20">
        <f>H8+H50</f>
        <v>89051067.18</v>
      </c>
      <c r="I102" s="47">
        <f>H102/D102*100</f>
        <v>45.625956407662926</v>
      </c>
      <c r="J102" s="73">
        <f t="shared" si="17"/>
        <v>72.61413853614762</v>
      </c>
      <c r="K102" s="55">
        <f t="shared" si="14"/>
        <v>33584922.14</v>
      </c>
      <c r="L102" s="20">
        <f aca="true" t="shared" si="19" ref="L102:X102">L8+L23+L51</f>
        <v>112816</v>
      </c>
      <c r="M102" s="20">
        <f t="shared" si="19"/>
        <v>3716000</v>
      </c>
      <c r="N102" s="20">
        <f t="shared" si="19"/>
        <v>13424000</v>
      </c>
      <c r="O102" s="20">
        <f t="shared" si="19"/>
        <v>23627301.990000002</v>
      </c>
      <c r="P102" s="20">
        <f t="shared" si="19"/>
        <v>25067943.939999998</v>
      </c>
      <c r="Q102" s="20">
        <f t="shared" si="19"/>
        <v>23063655.38</v>
      </c>
      <c r="R102" s="20">
        <f t="shared" si="19"/>
        <v>33624272.010000005</v>
      </c>
      <c r="S102" s="20">
        <f t="shared" si="19"/>
        <v>21526019.259999998</v>
      </c>
      <c r="T102" s="20">
        <f t="shared" si="19"/>
        <v>7041945.859999999</v>
      </c>
      <c r="U102" s="20">
        <f t="shared" si="19"/>
        <v>19284460.48</v>
      </c>
      <c r="V102" s="20">
        <f t="shared" si="19"/>
        <v>16784185.509999998</v>
      </c>
      <c r="W102" s="20">
        <f t="shared" si="19"/>
        <v>7903729.43</v>
      </c>
      <c r="X102" s="20">
        <f t="shared" si="19"/>
        <v>195176329.86</v>
      </c>
      <c r="Y102" s="75">
        <f t="shared" si="16"/>
        <v>0</v>
      </c>
    </row>
    <row r="103" spans="1:11" ht="18.75" hidden="1">
      <c r="A103" s="39" t="s">
        <v>39</v>
      </c>
      <c r="B103" s="40"/>
      <c r="C103" s="41"/>
      <c r="D103" s="42"/>
      <c r="E103" s="42"/>
      <c r="F103" s="42"/>
      <c r="G103" s="42"/>
      <c r="K103" s="55">
        <f t="shared" si="14"/>
        <v>0</v>
      </c>
    </row>
    <row r="104" spans="1:11" ht="18.75" hidden="1">
      <c r="A104" s="2"/>
      <c r="B104" s="36"/>
      <c r="C104" s="37"/>
      <c r="D104" s="3"/>
      <c r="E104" s="36"/>
      <c r="F104" s="36"/>
      <c r="K104" s="55">
        <f t="shared" si="14"/>
        <v>0</v>
      </c>
    </row>
  </sheetData>
  <sheetProtection/>
  <mergeCells count="28">
    <mergeCell ref="A1:H1"/>
    <mergeCell ref="A2:H2"/>
    <mergeCell ref="H4:H5"/>
    <mergeCell ref="A4:A5"/>
    <mergeCell ref="C4:C5"/>
    <mergeCell ref="D4:D5"/>
    <mergeCell ref="E4:E5"/>
    <mergeCell ref="F4:F5"/>
    <mergeCell ref="I4:I5"/>
    <mergeCell ref="A7:I7"/>
    <mergeCell ref="A49:I49"/>
    <mergeCell ref="L4:L5"/>
    <mergeCell ref="K4:K5"/>
    <mergeCell ref="J4:J6"/>
    <mergeCell ref="J10:J14"/>
    <mergeCell ref="J15:J22"/>
    <mergeCell ref="X4:X5"/>
    <mergeCell ref="Q4:Q5"/>
    <mergeCell ref="R4:R5"/>
    <mergeCell ref="S4:S5"/>
    <mergeCell ref="T4:T5"/>
    <mergeCell ref="U4:U5"/>
    <mergeCell ref="V4:V5"/>
    <mergeCell ref="W4:W5"/>
    <mergeCell ref="M4:M5"/>
    <mergeCell ref="N4:N5"/>
    <mergeCell ref="O4:O5"/>
    <mergeCell ref="P4:P5"/>
  </mergeCells>
  <printOptions/>
  <pageMargins left="0.6692913385826772" right="0.1968503937007874" top="0.2362204724409449" bottom="0.31496062992125984" header="0.1968503937007874" footer="0.31496062992125984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2016-06-16T13:07:08Z</cp:lastPrinted>
  <dcterms:created xsi:type="dcterms:W3CDTF">2014-01-17T10:52:16Z</dcterms:created>
  <dcterms:modified xsi:type="dcterms:W3CDTF">2016-07-08T12:13:00Z</dcterms:modified>
  <cp:category/>
  <cp:version/>
  <cp:contentType/>
  <cp:contentStatus/>
</cp:coreProperties>
</file>